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2450"/>
  </bookViews>
  <sheets>
    <sheet name="2025 год" sheetId="28" r:id="rId1"/>
    <sheet name="доход" sheetId="29" r:id="rId2"/>
    <sheet name=" коэф замещение доход" sheetId="30" r:id="rId3"/>
    <sheet name="расходы" sheetId="31" r:id="rId4"/>
    <sheet name="Числен населен" sheetId="32" r:id="rId5"/>
    <sheet name="Диаграмма общий" sheetId="17" state="hidden" r:id="rId6"/>
    <sheet name="Примечания общий" sheetId="15" state="hidden" r:id="rId7"/>
  </sheets>
  <externalReferences>
    <externalReference r:id="rId8"/>
  </externalReferences>
  <definedNames>
    <definedName name="_Toc167289930" localSheetId="4">'Числен населен'!$A$1</definedName>
    <definedName name="_Toc167706567" localSheetId="4">'Числен населен'!$A$1</definedName>
    <definedName name="_xlnm.Print_Area" localSheetId="0">'2025 год'!$A$1:$AA$30</definedName>
  </definedNames>
  <calcPr calcId="124519" refMode="R1C1"/>
</workbook>
</file>

<file path=xl/calcChain.xml><?xml version="1.0" encoding="utf-8"?>
<calcChain xmlns="http://schemas.openxmlformats.org/spreadsheetml/2006/main">
  <c r="E48" i="30"/>
  <c r="E17" i="31"/>
  <c r="X17"/>
  <c r="F8" i="29"/>
  <c r="X10" i="31"/>
  <c r="X11"/>
  <c r="X12"/>
  <c r="X13"/>
  <c r="X14"/>
  <c r="X15"/>
  <c r="X16"/>
  <c r="M17"/>
  <c r="Q17"/>
  <c r="O14"/>
  <c r="Q10"/>
  <c r="O11" l="1"/>
  <c r="O10"/>
  <c r="M10" s="1"/>
  <c r="O12"/>
  <c r="M12" s="1"/>
  <c r="E6" i="29" l="1"/>
  <c r="D17" i="31" l="1"/>
  <c r="B17" l="1"/>
  <c r="G17"/>
  <c r="I17"/>
  <c r="K17"/>
  <c r="S17"/>
  <c r="T17"/>
  <c r="U17"/>
  <c r="V16" s="1"/>
  <c r="W17"/>
  <c r="R10"/>
  <c r="R11"/>
  <c r="R12"/>
  <c r="R13"/>
  <c r="R14"/>
  <c r="R15"/>
  <c r="R16"/>
  <c r="R9"/>
  <c r="V15"/>
  <c r="V14"/>
  <c r="V13"/>
  <c r="V11"/>
  <c r="V10"/>
  <c r="V12" l="1"/>
  <c r="K16"/>
  <c r="K10"/>
  <c r="K9"/>
  <c r="I16"/>
  <c r="I14"/>
  <c r="I10"/>
  <c r="I9"/>
  <c r="G9"/>
  <c r="E16"/>
  <c r="E14"/>
  <c r="E13"/>
  <c r="E10"/>
  <c r="E9"/>
  <c r="S10"/>
  <c r="S11"/>
  <c r="S12"/>
  <c r="S13"/>
  <c r="S14"/>
  <c r="S15"/>
  <c r="S16"/>
  <c r="S9"/>
  <c r="T13"/>
  <c r="T10"/>
  <c r="T11"/>
  <c r="T12"/>
  <c r="T15"/>
  <c r="T16"/>
  <c r="T14"/>
  <c r="T9"/>
  <c r="Q11"/>
  <c r="Q12"/>
  <c r="Q13"/>
  <c r="Q14"/>
  <c r="Q15"/>
  <c r="Q16"/>
  <c r="Q9"/>
  <c r="J3" i="32" l="1"/>
  <c r="B3"/>
  <c r="D11" i="31"/>
  <c r="D12"/>
  <c r="D15"/>
  <c r="C15"/>
  <c r="C14"/>
  <c r="L10" l="1"/>
  <c r="O15"/>
  <c r="L9"/>
  <c r="J16"/>
  <c r="F14"/>
  <c r="C11"/>
  <c r="C12"/>
  <c r="C16"/>
  <c r="C9"/>
  <c r="C13"/>
  <c r="C10"/>
  <c r="M15" l="1"/>
  <c r="O16"/>
  <c r="M16" s="1"/>
  <c r="O9"/>
  <c r="M9" s="1"/>
  <c r="M14"/>
  <c r="O13"/>
  <c r="M13" s="1"/>
  <c r="J17" i="28"/>
  <c r="L16" i="31"/>
  <c r="H9"/>
  <c r="J9"/>
  <c r="J10"/>
  <c r="J14"/>
  <c r="D14" s="1"/>
  <c r="J19" i="28" s="1"/>
  <c r="F9" i="31"/>
  <c r="F16"/>
  <c r="F10"/>
  <c r="D10" s="1"/>
  <c r="J15" i="28" s="1"/>
  <c r="F13" i="31"/>
  <c r="D13" s="1"/>
  <c r="I13" i="29"/>
  <c r="I12"/>
  <c r="I11"/>
  <c r="I10"/>
  <c r="I9"/>
  <c r="I8"/>
  <c r="I7"/>
  <c r="I6"/>
  <c r="D99" i="30"/>
  <c r="H13" i="29"/>
  <c r="H12"/>
  <c r="H11"/>
  <c r="H10"/>
  <c r="H9"/>
  <c r="H8"/>
  <c r="H7"/>
  <c r="H6"/>
  <c r="C97" i="30"/>
  <c r="B97"/>
  <c r="E95"/>
  <c r="D94"/>
  <c r="E94" s="1"/>
  <c r="D93"/>
  <c r="E93" s="1"/>
  <c r="D92"/>
  <c r="D91"/>
  <c r="E91" s="1"/>
  <c r="E90"/>
  <c r="E89"/>
  <c r="E88"/>
  <c r="E87"/>
  <c r="E86"/>
  <c r="E85"/>
  <c r="E84"/>
  <c r="D82"/>
  <c r="E82" s="1"/>
  <c r="C82"/>
  <c r="B82"/>
  <c r="E80"/>
  <c r="E79"/>
  <c r="E78"/>
  <c r="E77"/>
  <c r="E76"/>
  <c r="E75"/>
  <c r="E74"/>
  <c r="E73"/>
  <c r="E72"/>
  <c r="C70"/>
  <c r="B70"/>
  <c r="D69"/>
  <c r="E69" s="1"/>
  <c r="D68"/>
  <c r="E68" s="1"/>
  <c r="E67"/>
  <c r="D67"/>
  <c r="E66"/>
  <c r="E65"/>
  <c r="E64"/>
  <c r="E63"/>
  <c r="E62"/>
  <c r="E61"/>
  <c r="C59"/>
  <c r="B59"/>
  <c r="E58"/>
  <c r="E57"/>
  <c r="E56"/>
  <c r="E55"/>
  <c r="E54"/>
  <c r="E53"/>
  <c r="D52"/>
  <c r="D59" s="1"/>
  <c r="E51"/>
  <c r="D49"/>
  <c r="C49"/>
  <c r="B49"/>
  <c r="E47"/>
  <c r="E46"/>
  <c r="E45"/>
  <c r="E44"/>
  <c r="E43"/>
  <c r="E42"/>
  <c r="E41"/>
  <c r="E40"/>
  <c r="E39"/>
  <c r="E38"/>
  <c r="D36"/>
  <c r="E36" s="1"/>
  <c r="C36"/>
  <c r="B36"/>
  <c r="E35"/>
  <c r="E34"/>
  <c r="E33"/>
  <c r="E32"/>
  <c r="E31"/>
  <c r="E30"/>
  <c r="E29"/>
  <c r="E28"/>
  <c r="E27"/>
  <c r="E26"/>
  <c r="D24"/>
  <c r="E24" s="1"/>
  <c r="C24"/>
  <c r="B24"/>
  <c r="E22"/>
  <c r="E21"/>
  <c r="E20"/>
  <c r="E19"/>
  <c r="E18"/>
  <c r="E17"/>
  <c r="E16"/>
  <c r="E15"/>
  <c r="D13"/>
  <c r="E13" s="1"/>
  <c r="C13"/>
  <c r="B13"/>
  <c r="E12"/>
  <c r="E11"/>
  <c r="E10"/>
  <c r="E9"/>
  <c r="E8"/>
  <c r="E7"/>
  <c r="E6"/>
  <c r="E5"/>
  <c r="X9" i="31" l="1"/>
  <c r="J20" i="28"/>
  <c r="M11" i="31"/>
  <c r="J18" i="28"/>
  <c r="D16" i="31"/>
  <c r="J21" i="28" s="1"/>
  <c r="D9" i="31"/>
  <c r="E49" i="30"/>
  <c r="D70"/>
  <c r="E70" s="1"/>
  <c r="D97"/>
  <c r="E97" s="1"/>
  <c r="E52"/>
  <c r="E59" s="1"/>
  <c r="J16" i="28" l="1"/>
  <c r="J22"/>
  <c r="J14"/>
  <c r="I14" i="29"/>
  <c r="H14"/>
  <c r="C14"/>
  <c r="D14"/>
  <c r="B14"/>
  <c r="E7"/>
  <c r="E8"/>
  <c r="E9"/>
  <c r="E10"/>
  <c r="E11"/>
  <c r="E12"/>
  <c r="E13"/>
  <c r="G7"/>
  <c r="F7" s="1"/>
  <c r="G8"/>
  <c r="G9"/>
  <c r="F9" s="1"/>
  <c r="G10"/>
  <c r="F10" s="1"/>
  <c r="G11"/>
  <c r="F11" s="1"/>
  <c r="G12"/>
  <c r="F12" s="1"/>
  <c r="G13"/>
  <c r="F13" s="1"/>
  <c r="G6"/>
  <c r="F6" s="1"/>
  <c r="K14"/>
  <c r="D16" i="28" l="1"/>
  <c r="E16" s="1"/>
  <c r="J8" i="29"/>
  <c r="D21" i="28"/>
  <c r="J13" i="29"/>
  <c r="D17" i="28"/>
  <c r="J9" i="29"/>
  <c r="D18" i="28"/>
  <c r="E18" s="1"/>
  <c r="F18" s="1"/>
  <c r="J10" i="29"/>
  <c r="D20" i="28"/>
  <c r="J12" i="29"/>
  <c r="D14" i="28"/>
  <c r="J6" i="29"/>
  <c r="D19" i="28"/>
  <c r="E19" s="1"/>
  <c r="F19" s="1"/>
  <c r="J11" i="29"/>
  <c r="D15" i="28"/>
  <c r="J7" i="29"/>
  <c r="G14"/>
  <c r="F14" s="1"/>
  <c r="E14"/>
  <c r="E14" i="28"/>
  <c r="C27"/>
  <c r="E21"/>
  <c r="F21" s="1"/>
  <c r="E20"/>
  <c r="E17"/>
  <c r="F17" s="1"/>
  <c r="E15"/>
  <c r="F15" s="1"/>
  <c r="L11" i="29" l="1"/>
  <c r="G19" i="28" s="1"/>
  <c r="L12" i="29"/>
  <c r="G20" i="28" s="1"/>
  <c r="J14" i="29"/>
  <c r="F14" i="28"/>
  <c r="F16"/>
  <c r="F20"/>
  <c r="E22"/>
  <c r="L6" i="29" l="1"/>
  <c r="G14" i="28" s="1"/>
  <c r="K14" s="1"/>
  <c r="L7" i="29"/>
  <c r="G15" i="28" s="1"/>
  <c r="L10" i="29"/>
  <c r="G18" i="28" s="1"/>
  <c r="L9" i="29"/>
  <c r="G17" i="28" s="1"/>
  <c r="L8" i="29"/>
  <c r="L13"/>
  <c r="G21" i="28" s="1"/>
  <c r="B22"/>
  <c r="C22"/>
  <c r="K16" l="1"/>
  <c r="G16"/>
  <c r="B2"/>
  <c r="F22"/>
  <c r="K20"/>
  <c r="B23"/>
  <c r="K19"/>
  <c r="K15"/>
  <c r="K21"/>
  <c r="K17"/>
  <c r="K18"/>
  <c r="D22"/>
  <c r="K22" l="1"/>
  <c r="C25"/>
  <c r="M26" s="1"/>
  <c r="B3" s="1"/>
  <c r="L16" s="1"/>
  <c r="P19"/>
  <c r="P20"/>
  <c r="G22"/>
  <c r="P16"/>
  <c r="C29"/>
  <c r="Z22"/>
  <c r="Y22"/>
  <c r="T22"/>
  <c r="H22"/>
  <c r="I22" s="1"/>
  <c r="I21"/>
  <c r="W19"/>
  <c r="I19"/>
  <c r="I18"/>
  <c r="I17"/>
  <c r="I16"/>
  <c r="I15"/>
  <c r="I14"/>
  <c r="C7" i="15"/>
  <c r="B7"/>
  <c r="B6"/>
  <c r="C6"/>
  <c r="B15"/>
  <c r="C15"/>
  <c r="B13"/>
  <c r="B12"/>
  <c r="B11"/>
  <c r="B10"/>
  <c r="B8"/>
  <c r="B14"/>
  <c r="B9"/>
  <c r="C9"/>
  <c r="I20" i="28"/>
  <c r="C12" i="15"/>
  <c r="D12" s="1"/>
  <c r="C13"/>
  <c r="D13" s="1"/>
  <c r="C8"/>
  <c r="C11"/>
  <c r="C10"/>
  <c r="D10" s="1"/>
  <c r="C14"/>
  <c r="D11" l="1"/>
  <c r="D8"/>
  <c r="L18" i="28"/>
  <c r="L14"/>
  <c r="L17"/>
  <c r="L21"/>
  <c r="L20"/>
  <c r="L15"/>
  <c r="L19"/>
  <c r="D14" i="15"/>
  <c r="D9"/>
  <c r="D15"/>
  <c r="P14" i="28"/>
  <c r="P17"/>
  <c r="P21"/>
  <c r="P15"/>
  <c r="P18"/>
  <c r="R20"/>
  <c r="R21"/>
  <c r="R18"/>
  <c r="R15"/>
  <c r="R16"/>
  <c r="R14"/>
  <c r="R17"/>
  <c r="R19"/>
  <c r="L22" l="1"/>
  <c r="M21" l="1"/>
  <c r="O21" s="1"/>
  <c r="M16"/>
  <c r="U16" s="1"/>
  <c r="M15"/>
  <c r="M18"/>
  <c r="AA18" s="1"/>
  <c r="M19"/>
  <c r="S19" s="1"/>
  <c r="M14"/>
  <c r="M20"/>
  <c r="X20" s="1"/>
  <c r="M17"/>
  <c r="N21" l="1"/>
  <c r="U21"/>
  <c r="X16"/>
  <c r="U19"/>
  <c r="S18"/>
  <c r="X18"/>
  <c r="U18"/>
  <c r="N17"/>
  <c r="O17"/>
  <c r="N19"/>
  <c r="O19"/>
  <c r="M22"/>
  <c r="N22" s="1"/>
  <c r="N14"/>
  <c r="O14"/>
  <c r="O20"/>
  <c r="N20"/>
  <c r="N15"/>
  <c r="O15"/>
  <c r="O16"/>
  <c r="N16"/>
  <c r="N18"/>
  <c r="O18"/>
  <c r="X17"/>
  <c r="S17"/>
  <c r="U17"/>
  <c r="AA17"/>
  <c r="S20"/>
  <c r="AA20"/>
  <c r="U20"/>
  <c r="AA19"/>
  <c r="S16"/>
  <c r="AA16"/>
  <c r="X19"/>
  <c r="AA15"/>
  <c r="X15"/>
  <c r="U15"/>
  <c r="S15"/>
  <c r="S21"/>
  <c r="AA21"/>
  <c r="X21"/>
  <c r="S14"/>
  <c r="U14"/>
  <c r="C26" l="1"/>
  <c r="O22"/>
  <c r="U22"/>
  <c r="X22"/>
  <c r="AA22"/>
  <c r="Q17"/>
  <c r="Q21"/>
  <c r="Q18"/>
  <c r="Q16"/>
  <c r="Q19"/>
  <c r="Q14"/>
  <c r="Q15"/>
  <c r="Q20"/>
</calcChain>
</file>

<file path=xl/sharedStrings.xml><?xml version="1.0" encoding="utf-8"?>
<sst xmlns="http://schemas.openxmlformats.org/spreadsheetml/2006/main" count="887" uniqueCount="261">
  <si>
    <t>Среднедушевой нал.потенциал (НПср)</t>
  </si>
  <si>
    <t>Среднедушевые доходы</t>
  </si>
  <si>
    <r>
      <t xml:space="preserve">Оценка нормативных расходов </t>
    </r>
    <r>
      <rPr>
        <sz val="11"/>
        <rFont val="Times New Roman"/>
        <family val="1"/>
        <charset val="204"/>
      </rPr>
      <t>(Р)</t>
    </r>
  </si>
  <si>
    <t>Расчет средств, недостающих до среднего уровня бюджетной обеспеченности                (Махп)</t>
  </si>
  <si>
    <t>Бюджетная обеспеченность после выравнивания</t>
  </si>
  <si>
    <t>Уровень  бюджетной обеспеченности (после  выравнивания) (БО)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</si>
  <si>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</si>
  <si>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</si>
  <si>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</si>
  <si>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</si>
  <si>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</si>
  <si>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</si>
  <si>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</si>
  <si>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</si>
  <si>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</si>
  <si>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</si>
  <si>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Объем районного фонда финансовой поддержки поселений</t>
  </si>
  <si>
    <t xml:space="preserve"> - средства местного бюджета</t>
  </si>
  <si>
    <t>Место</t>
  </si>
  <si>
    <r>
      <t xml:space="preserve">Для сведения: </t>
    </r>
    <r>
      <rPr>
        <sz val="9"/>
        <rFont val="Times New Roman"/>
        <family val="1"/>
        <charset val="204"/>
      </rPr>
      <t xml:space="preserve">бюджетная обеспеченность </t>
    </r>
  </si>
  <si>
    <t>до</t>
  </si>
  <si>
    <t>после</t>
  </si>
  <si>
    <t xml:space="preserve">до </t>
  </si>
  <si>
    <t>Распределение средств Районного фонда ФФПП (объем дотации поселениям)</t>
  </si>
  <si>
    <t>Муниципальный район</t>
  </si>
  <si>
    <t>Итого по муниципальному району:</t>
  </si>
  <si>
    <t>Муниципальное образование</t>
  </si>
  <si>
    <t>((НПпy/Насy) /НПпср)</t>
  </si>
  <si>
    <t>((Рпy/Наспy)/ Рпср)</t>
  </si>
  <si>
    <t>(ИНПпy/ ИБРпy)</t>
  </si>
  <si>
    <t>(НПпср*(БОмах-БОпy)*ИБРпy *Наспy)</t>
  </si>
  <si>
    <t>11</t>
  </si>
  <si>
    <t>12</t>
  </si>
  <si>
    <t>13</t>
  </si>
  <si>
    <t>16</t>
  </si>
  <si>
    <t>Среднедушевые расходы</t>
  </si>
  <si>
    <t>17</t>
  </si>
  <si>
    <t>1. Кондопожское городское поселение</t>
  </si>
  <si>
    <t>2. Гирвасское сельское поселение</t>
  </si>
  <si>
    <t>3. Кончезерское сельское поселение</t>
  </si>
  <si>
    <t>4. Кяппесельгское сельское поселение</t>
  </si>
  <si>
    <t>5. Кедрозерское сельское поселение</t>
  </si>
  <si>
    <t>6. Новинское сельское поселение</t>
  </si>
  <si>
    <t>9. Курортное сельское поселение</t>
  </si>
  <si>
    <t>7. Петровское сельское поселение</t>
  </si>
  <si>
    <t>8. Янишпольское сельское поселение</t>
  </si>
  <si>
    <t>x</t>
  </si>
  <si>
    <t>РК</t>
  </si>
  <si>
    <t>м.б.</t>
  </si>
  <si>
    <t>контроль</t>
  </si>
  <si>
    <t>2 этап</t>
  </si>
  <si>
    <t>1 этап</t>
  </si>
  <si>
    <t>к уровню 2010 года</t>
  </si>
  <si>
    <t>кончезеро</t>
  </si>
  <si>
    <t>Общий обьем дотаций,</t>
  </si>
  <si>
    <t>в т.ч. за счет местного бюджета</t>
  </si>
  <si>
    <t>Объем дотация за счет средств  местного бюджета</t>
  </si>
  <si>
    <t xml:space="preserve"> - Дотация, отражающая отдельные показатели, передаваемых бюджету муниципального района из бюджета Республики Карелия</t>
  </si>
  <si>
    <t>в т.ч. за счет средств бюджета РК</t>
  </si>
  <si>
    <t>Средний уровень бюджетной обеспеченности до выравнивания</t>
  </si>
  <si>
    <t>Средний уровень бюджетной обеспеченности после выравнивания</t>
  </si>
  <si>
    <t>Численность населения (Нас iБОср.)</t>
  </si>
  <si>
    <t>Уровень, установленный в качестве критерия выравнивания</t>
  </si>
  <si>
    <t>14</t>
  </si>
  <si>
    <t>15</t>
  </si>
  <si>
    <t>Коэффициент замещения</t>
  </si>
  <si>
    <t>Объем дотации
за счет средств Республики Карелия</t>
  </si>
  <si>
    <t>Индекс налогового потенциала (ИНПП)</t>
  </si>
  <si>
    <t>Индекс бюджетных расходов (ИБРП)</t>
  </si>
  <si>
    <t>Уровень бюджетной обеспеченности (до выравни-вания) (БОП)</t>
  </si>
  <si>
    <r>
      <t xml:space="preserve">Налоговый потенциал </t>
    </r>
    <r>
      <rPr>
        <sz val="11"/>
        <rFont val="Times New Roman"/>
        <family val="1"/>
        <charset val="204"/>
      </rPr>
      <t>(НПП)</t>
    </r>
  </si>
  <si>
    <t>Налоговый потенциал с учетом коэффициента замещения
(НПП)</t>
  </si>
  <si>
    <t>Пудожский муниципальный район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</si>
  <si>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</si>
  <si>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</si>
  <si>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</si>
  <si>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Кубовское сельское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</si>
  <si>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</si>
  <si>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</si>
  <si>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</si>
  <si>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</si>
  <si>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2025 год</t>
  </si>
  <si>
    <t>Числ-ть постоян. населения на 01.01.2024, (тыс.чел.) (Насп)</t>
  </si>
  <si>
    <t>Наименование муниципального образования</t>
  </si>
  <si>
    <t>Налоговый потенциал на 2025 год</t>
  </si>
  <si>
    <t>НДФЛ (Расчет на основании 5-ндфл)</t>
  </si>
  <si>
    <t>Земельный налог (по данным ФНС)</t>
  </si>
  <si>
    <t>Налог на имущество физических лиц  (по данным ФНС)</t>
  </si>
  <si>
    <t xml:space="preserve">Городское </t>
  </si>
  <si>
    <t>Пяльмское</t>
  </si>
  <si>
    <t>Куганаволокское</t>
  </si>
  <si>
    <t>Кубовское</t>
  </si>
  <si>
    <t>Шальское</t>
  </si>
  <si>
    <t>Авдеевское</t>
  </si>
  <si>
    <t>Кривецкое</t>
  </si>
  <si>
    <t>Красноборское</t>
  </si>
  <si>
    <t>ВСЕГО по муниципальному образованию</t>
  </si>
  <si>
    <t>Коэффициент замещения (КЗ=0,5*Сумм ^Пу)</t>
  </si>
  <si>
    <t>Оценка поступления доходов (Оц)</t>
  </si>
  <si>
    <t>Объем доходов утвержденный в первоначальном бюджете (Дохперв)</t>
  </si>
  <si>
    <t>Прирост налоговых и неналоговых доходов без учета дорожных фондов ( ^Пу)</t>
  </si>
  <si>
    <t>7=8-9</t>
  </si>
  <si>
    <t>6=0,5*7</t>
  </si>
  <si>
    <t>5=2+3+4</t>
  </si>
  <si>
    <t>Налоговый потенциал  на 2024 год (НПП),  ВСЕГО  (гр.2+гр.3+гр.4)</t>
  </si>
  <si>
    <t xml:space="preserve">Численность постоянного населения по состоянию на 01.01.2024 г. (НАСП)                    (чел.)                 </t>
  </si>
  <si>
    <t xml:space="preserve">Индекс налогового потенциала (ИНПП)       ((НППу+КЗу)/НАСПу)/ ( (СуммНППу+Кзу)/ Сумм НАСПу) </t>
  </si>
  <si>
    <t>Вид дохода</t>
  </si>
  <si>
    <t>Первоначальный план доходов (без учета акцизов)</t>
  </si>
  <si>
    <t>Фактическое поступление доходов на 01.10.2024</t>
  </si>
  <si>
    <t>Оценка поступления доходов на 2024 г</t>
  </si>
  <si>
    <t>Отклонение, руб</t>
  </si>
  <si>
    <t>5= гр4-гр2</t>
  </si>
  <si>
    <t>НДФЛ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</si>
  <si>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</si>
  <si>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</si>
  <si>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</si>
  <si>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Доходы от использования имущества</t>
  </si>
  <si>
    <t>Доходы от оказания платных услуг (работ)</t>
  </si>
  <si>
    <t>Доходы от компенсации затрат государства</t>
  </si>
  <si>
    <t>гос.пошлина</t>
  </si>
  <si>
    <t>Итого</t>
  </si>
  <si>
    <t>ЕСХН</t>
  </si>
  <si>
    <t>Доходы от продажи</t>
  </si>
  <si>
    <t>Городское поселение</t>
  </si>
  <si>
    <t>Шальского  сельское поселение</t>
  </si>
  <si>
    <t>Штрафы, санкции, возмещение ущерба</t>
  </si>
  <si>
    <t>Кривцы поселение</t>
  </si>
  <si>
    <t>Доходы от реализации имущества</t>
  </si>
  <si>
    <t>Доходы от продажи земельных участков</t>
  </si>
  <si>
    <t>Невыясненные поступления</t>
  </si>
  <si>
    <t>Налоговый потенциал с учетом коэффициента замещения
(НПП+ КЗ)</t>
  </si>
  <si>
    <t>7=5+6</t>
  </si>
  <si>
    <t xml:space="preserve">Расчет индекса бюджетных расходов поселений </t>
  </si>
  <si>
    <t>Наименование муниципальных районов, городских округов</t>
  </si>
  <si>
    <t xml:space="preserve">Корректи-рующий коэффициент стоимости коммунальных услуг                          </t>
  </si>
  <si>
    <t>исходные данные</t>
  </si>
  <si>
    <t>Интегральный коэффициент</t>
  </si>
  <si>
    <t xml:space="preserve">Численность постоянного населения на 01.01.2023 г.  по данным статистики (чел.) </t>
  </si>
  <si>
    <r>
      <t xml:space="preserve">Индекс бюджетных расходов </t>
    </r>
    <r>
      <rPr>
        <sz val="10"/>
        <rFont val="Times New Roman"/>
        <family val="1"/>
        <charset val="204"/>
      </rPr>
      <t xml:space="preserve">       </t>
    </r>
  </si>
  <si>
    <t xml:space="preserve">теплоснабжение
        </t>
  </si>
  <si>
    <t xml:space="preserve">водоснабжение
</t>
  </si>
  <si>
    <t xml:space="preserve">водоотведение
</t>
  </si>
  <si>
    <t xml:space="preserve">Коэффициент, учитывающий плотность населения </t>
  </si>
  <si>
    <t>коэфициент</t>
  </si>
  <si>
    <t xml:space="preserve">Плотность населения </t>
  </si>
  <si>
    <t>к-т</t>
  </si>
  <si>
    <t>Ттj</t>
  </si>
  <si>
    <t>Твj</t>
  </si>
  <si>
    <t>Твоj</t>
  </si>
  <si>
    <t>чел. на 1 кв.км</t>
  </si>
  <si>
    <t>S
кв.м</t>
  </si>
  <si>
    <t>Коэффициент дифференциации заработной платы (кзп)</t>
  </si>
  <si>
    <t>кзп</t>
  </si>
  <si>
    <t>кзп=кi/kсред</t>
  </si>
  <si>
    <t>Районный  и северный коэф. (кi)</t>
  </si>
  <si>
    <t xml:space="preserve">  средневзвешенный тариф на теплоснабжение
(рублей/ Гкал)        </t>
  </si>
  <si>
    <t xml:space="preserve"> средневзвешенный тариф водоснабжение
(рублей/куб.м.)</t>
  </si>
  <si>
    <t xml:space="preserve"> средневзвешенный тариф водоотведение
(рублей/куб.м.)</t>
  </si>
  <si>
    <t>ккомi=0,6*кт тепло+0,04*к-т водснаб+0,03*к-т водоотв+0,33</t>
  </si>
  <si>
    <t xml:space="preserve"> горячее водоснабжение
</t>
  </si>
  <si>
    <t>к-т=(Ттi/Ттср)</t>
  </si>
  <si>
    <t>к-т=(Твi/Твср)</t>
  </si>
  <si>
    <t>к-т=(Твоi/Твоср)</t>
  </si>
  <si>
    <t xml:space="preserve">Коэффициент, учитывающий структуру населения </t>
  </si>
  <si>
    <t>Кстрi</t>
  </si>
  <si>
    <t>1-сельские посел; 0- городское поселение</t>
  </si>
  <si>
    <r>
      <t>Кинтi</t>
    </r>
    <r>
      <rPr>
        <vertAlign val="subscript"/>
        <sz val="12"/>
        <rFont val="Times New Roman"/>
        <family val="1"/>
        <charset val="204"/>
      </rPr>
      <t xml:space="preserve">                                                      </t>
    </r>
  </si>
  <si>
    <t xml:space="preserve">Коэффициент, учитывающий дисперсновть населения </t>
  </si>
  <si>
    <t>Красi=(1+Увi)/(1+УВ)</t>
  </si>
  <si>
    <t>Удельный вес жителей, соответсвующего поселения, проживающих в населенных пунктах с численностью менее 500 чел.</t>
  </si>
  <si>
    <t>Увi</t>
  </si>
  <si>
    <t>Пудожское</t>
  </si>
  <si>
    <t>Всего</t>
  </si>
  <si>
    <t>д. Афанасьевская</t>
  </si>
  <si>
    <t>×</t>
  </si>
  <si>
    <t>п. Аэропорт</t>
  </si>
  <si>
    <t>-</t>
  </si>
  <si>
    <t>д. Гладкина</t>
  </si>
  <si>
    <t>д. Колово</t>
  </si>
  <si>
    <t>п. Колово</t>
  </si>
  <si>
    <t>д. Кошуково</t>
  </si>
  <si>
    <t>д. Мячева</t>
  </si>
  <si>
    <t>д. Ножево</t>
  </si>
  <si>
    <t>п. Подпорожье</t>
  </si>
  <si>
    <t>д. Филимоновская</t>
  </si>
  <si>
    <t>д. Харловская</t>
  </si>
  <si>
    <t>д. Авдеево</t>
  </si>
  <si>
    <t>д. Алексеево</t>
  </si>
  <si>
    <t>д. Бураково</t>
  </si>
  <si>
    <t>д. Октябрьская</t>
  </si>
  <si>
    <t>п. Онежский</t>
  </si>
  <si>
    <t>д. Песчаное</t>
  </si>
  <si>
    <t>п. Рагнукса</t>
  </si>
  <si>
    <t>д. Гакугса</t>
  </si>
  <si>
    <t>д. Каршево</t>
  </si>
  <si>
    <t>п. Красноборский</t>
  </si>
  <si>
    <t>д. Нигижма</t>
  </si>
  <si>
    <t>п. Чернореченский</t>
  </si>
  <si>
    <t>д. Дубовская</t>
  </si>
  <si>
    <t>д. Ершова</t>
  </si>
  <si>
    <t>д. Заозерье</t>
  </si>
  <si>
    <t>д. Кривцы</t>
  </si>
  <si>
    <t>п. Кривцы</t>
  </si>
  <si>
    <t>д. Остров</t>
  </si>
  <si>
    <t>д. Пелусозеро</t>
  </si>
  <si>
    <t>д. Пирзаково</t>
  </si>
  <si>
    <t>д. Погост</t>
  </si>
  <si>
    <t>п. Приречный</t>
  </si>
  <si>
    <t>д. Пялозеро</t>
  </si>
  <si>
    <t>д. Стешевская</t>
  </si>
  <si>
    <t>д. Татарская Гора</t>
  </si>
  <si>
    <t>д. Усть-Река</t>
  </si>
  <si>
    <t>д. Щаниковская</t>
  </si>
  <si>
    <t>д. Водла</t>
  </si>
  <si>
    <t>п. Водла</t>
  </si>
  <si>
    <t>п. Кубово</t>
  </si>
  <si>
    <t>п. Кубовский</t>
  </si>
  <si>
    <t>сплавучасток</t>
  </si>
  <si>
    <t>д. Кубовская</t>
  </si>
  <si>
    <t>п. Поршта</t>
  </si>
  <si>
    <t>д. Бостилово</t>
  </si>
  <si>
    <t>д. Вамская Плотина</t>
  </si>
  <si>
    <t>д. Канзанаволок</t>
  </si>
  <si>
    <t>д. Кевасалма</t>
  </si>
  <si>
    <t>д. Колгостров</t>
  </si>
  <si>
    <t>д. Коскосалма</t>
  </si>
  <si>
    <t>д. Куганаволок</t>
  </si>
  <si>
    <t>д. Пелгостров</t>
  </si>
  <si>
    <t>д. Чуяла</t>
  </si>
  <si>
    <t>д. Кодачгуба</t>
  </si>
  <si>
    <t>д. Остричи</t>
  </si>
  <si>
    <t>п. Пудожгорский</t>
  </si>
  <si>
    <t>д. Пяльма</t>
  </si>
  <si>
    <t>п. Пяльма</t>
  </si>
  <si>
    <t>д. Римское</t>
  </si>
  <si>
    <t>п. Тамбицы</t>
  </si>
  <si>
    <t>п. Тамбичозеро</t>
  </si>
  <si>
    <t>д. Бочилово</t>
  </si>
  <si>
    <t>п. Бочилово</t>
  </si>
  <si>
    <t>п. Кашино</t>
  </si>
  <si>
    <t>п. Нефтебаза</t>
  </si>
  <si>
    <t>п. Ново-Стеклянное</t>
  </si>
  <si>
    <t>д. Рогозинская</t>
  </si>
  <si>
    <t>д. Семёново</t>
  </si>
  <si>
    <t>д. Теребовская</t>
  </si>
  <si>
    <t>п. Шала Пристань</t>
  </si>
  <si>
    <t>п. Шальский</t>
  </si>
  <si>
    <t>п. Шалуха</t>
  </si>
  <si>
    <t>г. Пудож</t>
  </si>
  <si>
    <r>
      <t>Красi</t>
    </r>
    <r>
      <rPr>
        <vertAlign val="subscript"/>
        <sz val="12"/>
        <color rgb="FFFF0000"/>
        <rFont val="Times New Roman"/>
        <family val="1"/>
        <charset val="204"/>
      </rPr>
      <t xml:space="preserve">                                                     </t>
    </r>
  </si>
  <si>
    <t>ИБР=(0,6*кзп+0,1*кком+0,3)*кинт</t>
  </si>
  <si>
    <t>Числ. населенения, проживающего в насел.пунктах с числ.жителей менее 500 чел.</t>
  </si>
  <si>
    <t>Ув</t>
  </si>
  <si>
    <r>
      <rPr>
        <sz val="13"/>
        <color rgb="FFFF0000"/>
        <rFont val="Times New Roman"/>
        <family val="1"/>
        <charset val="204"/>
      </rPr>
      <t xml:space="preserve">kкомi  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</t>
    </r>
  </si>
  <si>
    <t>Удаленность административного центра поселения от районного центра</t>
  </si>
  <si>
    <t>км</t>
  </si>
  <si>
    <t>коэф-нт (Kцп)</t>
  </si>
  <si>
    <t>Kцп=(1+кмi)/(1+сумм кмi/7)</t>
  </si>
  <si>
    <r>
      <t>kплi</t>
    </r>
    <r>
      <rPr>
        <vertAlign val="subscript"/>
        <sz val="12"/>
        <color rgb="FFFF0000"/>
        <rFont val="Times New Roman"/>
        <family val="1"/>
        <charset val="204"/>
      </rPr>
      <t xml:space="preserve">  =(1+чел на 1 кв.м. i)/(1+суммчел на 1 кв.м.i/8)                                               </t>
    </r>
  </si>
  <si>
    <t>Кинтi=(Кстрi+ Красi+0,1*Кплi+Кцпi)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</si>
</sst>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"/>
    <numFmt numFmtId="166" formatCode="0.0000"/>
    <numFmt numFmtId="167" formatCode="#,##0.0000"/>
    <numFmt numFmtId="168" formatCode="#,##0.000_ ;[Red]\-#,##0.000\ "/>
    <numFmt numFmtId="169" formatCode="#,##0_ ;[Red]\-#,##0\ "/>
    <numFmt numFmtId="170" formatCode="0.000"/>
    <numFmt numFmtId="171" formatCode="0.00000"/>
    <numFmt numFmtId="172" formatCode="#,##0.000"/>
    <numFmt numFmtId="173" formatCode="#,##0.00000"/>
    <numFmt numFmtId="174" formatCode="#,##0.00;[Red]\-#,##0.00;0.00"/>
  </numFmts>
  <fonts count="3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b/>
      <i/>
      <sz val="16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Arial Cyr"/>
      <charset val="204"/>
    </font>
    <font>
      <u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bscript"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5" fillId="0" borderId="0"/>
    <xf numFmtId="0" fontId="29" fillId="0" borderId="0"/>
    <xf numFmtId="0" fontId="29" fillId="0" borderId="0"/>
  </cellStyleXfs>
  <cellXfs count="295">
    <xf numFmtId="0" fontId="0" fillId="0" borderId="0" xfId="0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Fill="1" applyBorder="1" applyAlignment="1">
      <alignment horizontal="left" indent="2"/>
    </xf>
    <xf numFmtId="0" fontId="0" fillId="0" borderId="1" xfId="0" applyBorder="1"/>
    <xf numFmtId="166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" fontId="4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0" fontId="9" fillId="0" borderId="2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" fontId="9" fillId="0" borderId="0" xfId="0" applyNumberFormat="1" applyFont="1" applyFill="1" applyAlignment="1">
      <alignment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7" fontId="7" fillId="0" borderId="0" xfId="0" applyNumberFormat="1" applyFont="1" applyFill="1" applyBorder="1" applyAlignment="1">
      <alignment horizontal="center" vertical="center"/>
    </xf>
    <xf numFmtId="168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7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169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/>
    <xf numFmtId="166" fontId="7" fillId="0" borderId="0" xfId="0" applyNumberFormat="1" applyFont="1" applyFill="1" applyBorder="1"/>
    <xf numFmtId="0" fontId="7" fillId="0" borderId="0" xfId="0" applyFont="1" applyFill="1" applyBorder="1"/>
    <xf numFmtId="166" fontId="8" fillId="0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17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9" fontId="7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73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165" fontId="7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68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/>
    <xf numFmtId="0" fontId="16" fillId="0" borderId="1" xfId="0" applyFont="1" applyFill="1" applyBorder="1"/>
    <xf numFmtId="0" fontId="16" fillId="0" borderId="3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9" fillId="0" borderId="4" xfId="0" applyFont="1" applyFill="1" applyBorder="1"/>
    <xf numFmtId="165" fontId="5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/>
    <xf numFmtId="3" fontId="9" fillId="0" borderId="0" xfId="0" applyNumberFormat="1" applyFont="1" applyFill="1" applyBorder="1"/>
    <xf numFmtId="1" fontId="9" fillId="0" borderId="1" xfId="0" applyNumberFormat="1" applyFont="1" applyFill="1" applyBorder="1" applyAlignment="1">
      <alignment vertical="center"/>
    </xf>
    <xf numFmtId="165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165" fontId="8" fillId="0" borderId="0" xfId="0" applyNumberFormat="1" applyFont="1" applyFill="1" applyBorder="1" applyAlignment="1">
      <alignment horizontal="center" vertical="center"/>
    </xf>
    <xf numFmtId="170" fontId="9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71" fontId="17" fillId="2" borderId="0" xfId="0" applyNumberFormat="1" applyFont="1" applyFill="1" applyBorder="1" applyAlignment="1">
      <alignment horizontal="center" vertical="center" wrapText="1"/>
    </xf>
    <xf numFmtId="165" fontId="8" fillId="3" borderId="0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6" fontId="9" fillId="4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172" fontId="9" fillId="4" borderId="1" xfId="0" applyNumberFormat="1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173" fontId="8" fillId="6" borderId="0" xfId="0" applyNumberFormat="1" applyFont="1" applyFill="1" applyBorder="1" applyAlignment="1">
      <alignment horizontal="center" vertical="center"/>
    </xf>
    <xf numFmtId="170" fontId="5" fillId="6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Fill="1" applyBorder="1" applyAlignment="1">
      <alignment horizontal="right" vertical="top" wrapText="1"/>
    </xf>
    <xf numFmtId="167" fontId="9" fillId="4" borderId="1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right"/>
    </xf>
    <xf numFmtId="167" fontId="22" fillId="4" borderId="1" xfId="0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174" fontId="26" fillId="0" borderId="13" xfId="1" applyNumberFormat="1" applyFont="1" applyFill="1" applyBorder="1" applyAlignment="1" applyProtection="1">
      <alignment horizontal="right" wrapText="1"/>
      <protection hidden="1"/>
    </xf>
    <xf numFmtId="4" fontId="23" fillId="0" borderId="1" xfId="0" applyNumberFormat="1" applyFont="1" applyFill="1" applyBorder="1" applyAlignment="1">
      <alignment wrapText="1"/>
    </xf>
    <xf numFmtId="4" fontId="23" fillId="0" borderId="1" xfId="0" applyNumberFormat="1" applyFont="1" applyFill="1" applyBorder="1"/>
    <xf numFmtId="0" fontId="24" fillId="0" borderId="1" xfId="0" applyFont="1" applyFill="1" applyBorder="1" applyAlignment="1">
      <alignment wrapText="1"/>
    </xf>
    <xf numFmtId="4" fontId="24" fillId="0" borderId="1" xfId="0" applyNumberFormat="1" applyFont="1" applyFill="1" applyBorder="1" applyAlignment="1">
      <alignment wrapText="1"/>
    </xf>
    <xf numFmtId="4" fontId="24" fillId="0" borderId="1" xfId="0" applyNumberFormat="1" applyFont="1" applyFill="1" applyBorder="1"/>
    <xf numFmtId="4" fontId="19" fillId="0" borderId="1" xfId="0" applyNumberFormat="1" applyFont="1" applyFill="1" applyBorder="1" applyAlignment="1">
      <alignment wrapText="1"/>
    </xf>
    <xf numFmtId="4" fontId="27" fillId="0" borderId="1" xfId="0" applyNumberFormat="1" applyFont="1" applyFill="1" applyBorder="1" applyAlignment="1">
      <alignment wrapText="1"/>
    </xf>
    <xf numFmtId="4" fontId="27" fillId="0" borderId="1" xfId="0" applyNumberFormat="1" applyFont="1" applyFill="1" applyBorder="1"/>
    <xf numFmtId="0" fontId="28" fillId="0" borderId="0" xfId="0" applyFont="1"/>
    <xf numFmtId="0" fontId="18" fillId="0" borderId="0" xfId="0" applyFont="1"/>
    <xf numFmtId="4" fontId="0" fillId="0" borderId="0" xfId="0" applyNumberFormat="1"/>
    <xf numFmtId="0" fontId="7" fillId="3" borderId="1" xfId="0" applyFont="1" applyFill="1" applyBorder="1" applyAlignment="1">
      <alignment horizontal="center" vertical="center" wrapText="1"/>
    </xf>
    <xf numFmtId="170" fontId="9" fillId="4" borderId="1" xfId="0" applyNumberFormat="1" applyFont="1" applyFill="1" applyBorder="1" applyAlignment="1">
      <alignment horizontal="right" vertical="center" wrapText="1"/>
    </xf>
    <xf numFmtId="0" fontId="19" fillId="4" borderId="0" xfId="0" applyFont="1" applyFill="1" applyAlignment="1">
      <alignment vertical="center"/>
    </xf>
    <xf numFmtId="172" fontId="9" fillId="4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172" fontId="9" fillId="4" borderId="7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1" fontId="9" fillId="4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172" fontId="9" fillId="0" borderId="0" xfId="0" applyNumberFormat="1" applyFont="1" applyFill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22" fillId="4" borderId="0" xfId="0" applyFont="1" applyFill="1" applyAlignment="1">
      <alignment vertical="center"/>
    </xf>
    <xf numFmtId="0" fontId="22" fillId="4" borderId="26" xfId="0" applyFont="1" applyFill="1" applyBorder="1" applyAlignment="1">
      <alignment horizontal="center" vertical="center" textRotation="90" wrapText="1"/>
    </xf>
    <xf numFmtId="0" fontId="22" fillId="4" borderId="9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vertical="center"/>
    </xf>
    <xf numFmtId="2" fontId="22" fillId="4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6" fillId="4" borderId="27" xfId="0" applyFont="1" applyFill="1" applyBorder="1" applyAlignment="1">
      <alignment vertical="center" wrapText="1"/>
    </xf>
    <xf numFmtId="172" fontId="6" fillId="4" borderId="28" xfId="0" applyNumberFormat="1" applyFont="1" applyFill="1" applyBorder="1" applyAlignment="1">
      <alignment horizontal="center" vertical="center"/>
    </xf>
    <xf numFmtId="1" fontId="6" fillId="4" borderId="28" xfId="0" applyNumberFormat="1" applyFont="1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2" fontId="6" fillId="4" borderId="28" xfId="0" applyNumberFormat="1" applyFont="1" applyFill="1" applyBorder="1" applyAlignment="1">
      <alignment horizontal="center" vertical="center"/>
    </xf>
    <xf numFmtId="3" fontId="6" fillId="4" borderId="28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27" fillId="4" borderId="1" xfId="0" applyFont="1" applyFill="1" applyBorder="1" applyAlignment="1">
      <alignment horizontal="center" vertical="center" wrapText="1"/>
    </xf>
    <xf numFmtId="0" fontId="33" fillId="4" borderId="28" xfId="0" applyFont="1" applyFill="1" applyBorder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/>
    </xf>
    <xf numFmtId="2" fontId="22" fillId="3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 wrapText="1"/>
    </xf>
    <xf numFmtId="2" fontId="33" fillId="4" borderId="28" xfId="0" applyNumberFormat="1" applyFont="1" applyFill="1" applyBorder="1" applyAlignment="1">
      <alignment vertical="center"/>
    </xf>
    <xf numFmtId="0" fontId="22" fillId="3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vertical="center"/>
    </xf>
    <xf numFmtId="2" fontId="22" fillId="4" borderId="1" xfId="0" applyNumberFormat="1" applyFont="1" applyFill="1" applyBorder="1" applyAlignment="1">
      <alignment vertical="center"/>
    </xf>
    <xf numFmtId="171" fontId="9" fillId="4" borderId="1" xfId="0" applyNumberFormat="1" applyFont="1" applyFill="1" applyBorder="1" applyAlignment="1">
      <alignment vertical="center"/>
    </xf>
    <xf numFmtId="172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172" fontId="27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3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72" fontId="22" fillId="3" borderId="7" xfId="0" applyNumberFormat="1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vertical="center"/>
    </xf>
    <xf numFmtId="0" fontId="9" fillId="4" borderId="7" xfId="0" applyFont="1" applyFill="1" applyBorder="1" applyAlignment="1">
      <alignment horizontal="center" vertical="center"/>
    </xf>
    <xf numFmtId="3" fontId="9" fillId="4" borderId="7" xfId="0" applyNumberFormat="1" applyFont="1" applyFill="1" applyBorder="1" applyAlignment="1">
      <alignment horizontal="center" vertical="center"/>
    </xf>
    <xf numFmtId="170" fontId="22" fillId="4" borderId="1" xfId="0" applyNumberFormat="1" applyFont="1" applyFill="1" applyBorder="1" applyAlignment="1">
      <alignment vertical="center"/>
    </xf>
    <xf numFmtId="1" fontId="6" fillId="4" borderId="1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1" fontId="22" fillId="4" borderId="0" xfId="0" applyNumberFormat="1" applyFont="1" applyFill="1" applyAlignment="1">
      <alignment vertical="center"/>
    </xf>
    <xf numFmtId="2" fontId="9" fillId="3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right"/>
    </xf>
    <xf numFmtId="0" fontId="9" fillId="4" borderId="1" xfId="0" applyNumberFormat="1" applyFont="1" applyFill="1" applyBorder="1" applyAlignment="1">
      <alignment horizontal="right"/>
    </xf>
    <xf numFmtId="0" fontId="22" fillId="4" borderId="1" xfId="0" applyFont="1" applyFill="1" applyBorder="1" applyAlignment="1">
      <alignment horizontal="right" wrapText="1" shrinkToFit="1"/>
    </xf>
    <xf numFmtId="0" fontId="22" fillId="4" borderId="1" xfId="0" applyFont="1" applyFill="1" applyBorder="1" applyAlignment="1">
      <alignment horizontal="center" wrapText="1" shrinkToFit="1"/>
    </xf>
    <xf numFmtId="0" fontId="9" fillId="4" borderId="1" xfId="0" applyFont="1" applyFill="1" applyBorder="1" applyAlignment="1">
      <alignment horizontal="right" wrapText="1" shrinkToFit="1"/>
    </xf>
    <xf numFmtId="0" fontId="20" fillId="4" borderId="1" xfId="0" applyFont="1" applyFill="1" applyBorder="1" applyAlignment="1">
      <alignment horizontal="right" vertical="top" wrapText="1"/>
    </xf>
    <xf numFmtId="0" fontId="9" fillId="4" borderId="1" xfId="0" applyFont="1" applyFill="1" applyBorder="1" applyAlignment="1">
      <alignment horizontal="right" vertical="center" wrapText="1"/>
    </xf>
    <xf numFmtId="170" fontId="22" fillId="4" borderId="1" xfId="0" applyNumberFormat="1" applyFont="1" applyFill="1" applyBorder="1" applyAlignment="1">
      <alignment horizontal="right" vertical="center" wrapText="1"/>
    </xf>
    <xf numFmtId="4" fontId="22" fillId="8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 shrinkToFit="1"/>
    </xf>
    <xf numFmtId="0" fontId="22" fillId="4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35" fillId="4" borderId="15" xfId="0" applyFont="1" applyFill="1" applyBorder="1" applyAlignment="1">
      <alignment horizontal="center" vertical="top" wrapText="1"/>
    </xf>
    <xf numFmtId="172" fontId="22" fillId="4" borderId="16" xfId="0" applyNumberFormat="1" applyFont="1" applyFill="1" applyBorder="1" applyAlignment="1">
      <alignment horizontal="center" vertical="center" textRotation="90" wrapText="1"/>
    </xf>
    <xf numFmtId="172" fontId="22" fillId="4" borderId="17" xfId="0" applyNumberFormat="1" applyFont="1" applyFill="1" applyBorder="1" applyAlignment="1">
      <alignment horizontal="center" vertical="center" textRotation="90" wrapText="1"/>
    </xf>
    <xf numFmtId="172" fontId="22" fillId="4" borderId="19" xfId="0" applyNumberFormat="1" applyFont="1" applyFill="1" applyBorder="1" applyAlignment="1">
      <alignment horizontal="center" vertical="center" textRotation="90" wrapText="1"/>
    </xf>
    <xf numFmtId="172" fontId="22" fillId="4" borderId="20" xfId="0" applyNumberFormat="1" applyFont="1" applyFill="1" applyBorder="1" applyAlignment="1">
      <alignment horizontal="center" vertical="center" textRotation="90" wrapText="1"/>
    </xf>
    <xf numFmtId="172" fontId="22" fillId="4" borderId="23" xfId="0" applyNumberFormat="1" applyFont="1" applyFill="1" applyBorder="1" applyAlignment="1">
      <alignment horizontal="center" vertical="center" textRotation="90" wrapText="1"/>
    </xf>
    <xf numFmtId="172" fontId="22" fillId="4" borderId="24" xfId="0" applyNumberFormat="1" applyFont="1" applyFill="1" applyBorder="1" applyAlignment="1">
      <alignment horizontal="center" vertical="center" textRotation="90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172" fontId="9" fillId="4" borderId="7" xfId="0" applyNumberFormat="1" applyFont="1" applyFill="1" applyBorder="1" applyAlignment="1">
      <alignment horizontal="center" vertical="center" wrapText="1"/>
    </xf>
    <xf numFmtId="172" fontId="9" fillId="4" borderId="9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 textRotation="90" wrapText="1"/>
    </xf>
    <xf numFmtId="0" fontId="9" fillId="4" borderId="9" xfId="0" applyFont="1" applyFill="1" applyBorder="1" applyAlignment="1">
      <alignment horizontal="center" vertical="center" textRotation="90" wrapText="1"/>
    </xf>
    <xf numFmtId="0" fontId="27" fillId="4" borderId="7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t>Выравнивание бюджетной обеспеченности</a:t>
            </a:r>
          </a:p>
        </c:rich>
      </c:tx>
      <c:layout>
        <c:manualLayout>
          <c:xMode val="edge"/>
          <c:yMode val="edge"/>
          <c:x val="0.31230596175478353"/>
          <c:y val="2.0338983050847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200620475698107"/>
          <c:y val="0.12542372881355843"/>
          <c:w val="0.73009307135470813"/>
          <c:h val="0.48813559322033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'Примечания общий'!$A$7:$A$15</c:f>
              <c:strCache>
                <c:ptCount val="9"/>
                <c:pt idx="0">
                  <c:v>1. Кондопожское городское поселение</c:v>
                </c:pt>
                <c:pt idx="1">
                  <c:v>2. Гирвасское сельское поселение</c:v>
                </c:pt>
                <c:pt idx="2">
                  <c:v>3. Кончезерское сельское поселение</c:v>
                </c:pt>
                <c:pt idx="3">
                  <c:v>4. Кяппесельгское сельское поселение</c:v>
                </c:pt>
                <c:pt idx="4">
                  <c:v>5. Кедрозерское сельское поселение</c:v>
                </c:pt>
                <c:pt idx="5">
                  <c:v>6. Новинское сельское поселение</c:v>
                </c:pt>
                <c:pt idx="6">
                  <c:v>7. Петровское сельское поселение</c:v>
                </c:pt>
                <c:pt idx="7">
                  <c:v>8. Янишпольское сельское поселение</c:v>
                </c:pt>
                <c:pt idx="8">
                  <c:v>9. Курортное сельское поселение</c:v>
                </c:pt>
              </c:strCache>
            </c:strRef>
          </c:cat>
          <c:val>
            <c:numRef>
              <c:f>'Примечания общий'!$B$7:$B$15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DB-4FA6-80B3-254D7B905CF8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'Примечания общий'!$A$7:$A$15</c:f>
              <c:strCache>
                <c:ptCount val="9"/>
                <c:pt idx="0">
                  <c:v>1. Кондопожское городское поселение</c:v>
                </c:pt>
                <c:pt idx="1">
                  <c:v>2. Гирвасское сельское поселение</c:v>
                </c:pt>
                <c:pt idx="2">
                  <c:v>3. Кончезерское сельское поселение</c:v>
                </c:pt>
                <c:pt idx="3">
                  <c:v>4. Кяппесельгское сельское поселение</c:v>
                </c:pt>
                <c:pt idx="4">
                  <c:v>5. Кедрозерское сельское поселение</c:v>
                </c:pt>
                <c:pt idx="5">
                  <c:v>6. Новинское сельское поселение</c:v>
                </c:pt>
                <c:pt idx="6">
                  <c:v>7. Петровское сельское поселение</c:v>
                </c:pt>
                <c:pt idx="7">
                  <c:v>8. Янишпольское сельское поселение</c:v>
                </c:pt>
                <c:pt idx="8">
                  <c:v>9. Курортное сельское поселение</c:v>
                </c:pt>
              </c:strCache>
            </c:strRef>
          </c:cat>
          <c:val>
            <c:numRef>
              <c:f>'Примечания общий'!$C$7:$C$15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DDB-4FA6-80B3-254D7B905CF8}"/>
            </c:ext>
          </c:extLst>
        </c:ser>
        <c:marker val="1"/>
        <c:axId val="143733888"/>
        <c:axId val="143736192"/>
      </c:lineChart>
      <c:catAx>
        <c:axId val="143733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t>Наименование поселений</a:t>
                </a:r>
              </a:p>
            </c:rich>
          </c:tx>
          <c:layout>
            <c:manualLayout>
              <c:xMode val="edge"/>
              <c:yMode val="edge"/>
              <c:x val="0.45604962423175366"/>
              <c:y val="0.942372881355931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3736192"/>
        <c:crosses val="autoZero"/>
        <c:auto val="1"/>
        <c:lblAlgn val="ctr"/>
        <c:lblOffset val="100"/>
        <c:tickLblSkip val="1"/>
        <c:tickMarkSkip val="1"/>
      </c:catAx>
      <c:valAx>
        <c:axId val="143736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t>Коэффициенты</a:t>
                </a:r>
              </a:p>
            </c:rich>
          </c:tx>
          <c:layout>
            <c:manualLayout>
              <c:xMode val="edge"/>
              <c:yMode val="edge"/>
              <c:x val="1.1375425897849747E-2"/>
              <c:y val="0.27796627963877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37338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23474674361357"/>
          <c:y val="0.3338983050847491"/>
          <c:w val="0.99586334316905956"/>
          <c:h val="0.406779483073090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0</xdr:colOff>
      <xdr:row>7</xdr:row>
      <xdr:rowOff>235744</xdr:rowOff>
    </xdr:from>
    <xdr:ext cx="184731" cy="264560"/>
    <xdr:sp macro="" textlink="">
      <xdr:nvSpPr>
        <xdr:cNvPr id="2" name="TextBox 1"/>
        <xdr:cNvSpPr txBox="1"/>
      </xdr:nvSpPr>
      <xdr:spPr>
        <a:xfrm>
          <a:off x="18576131" y="39219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8</xdr:row>
      <xdr:rowOff>235744</xdr:rowOff>
    </xdr:from>
    <xdr:ext cx="184731" cy="264560"/>
    <xdr:sp macro="" textlink="">
      <xdr:nvSpPr>
        <xdr:cNvPr id="3" name="TextBox 2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9</xdr:row>
      <xdr:rowOff>235744</xdr:rowOff>
    </xdr:from>
    <xdr:ext cx="184731" cy="264560"/>
    <xdr:sp macro="" textlink="">
      <xdr:nvSpPr>
        <xdr:cNvPr id="4" name="TextBox 3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10</xdr:row>
      <xdr:rowOff>235744</xdr:rowOff>
    </xdr:from>
    <xdr:ext cx="184731" cy="264560"/>
    <xdr:sp macro="" textlink="">
      <xdr:nvSpPr>
        <xdr:cNvPr id="5" name="TextBox 4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11</xdr:row>
      <xdr:rowOff>235744</xdr:rowOff>
    </xdr:from>
    <xdr:ext cx="184731" cy="264560"/>
    <xdr:sp macro="" textlink="">
      <xdr:nvSpPr>
        <xdr:cNvPr id="6" name="TextBox 5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235744</xdr:rowOff>
    </xdr:from>
    <xdr:ext cx="184731" cy="264560"/>
    <xdr:sp macro="" textlink="">
      <xdr:nvSpPr>
        <xdr:cNvPr id="7" name="TextBox 6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13</xdr:row>
      <xdr:rowOff>235744</xdr:rowOff>
    </xdr:from>
    <xdr:ext cx="184731" cy="264560"/>
    <xdr:sp macro="" textlink="">
      <xdr:nvSpPr>
        <xdr:cNvPr id="8" name="TextBox 7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14</xdr:row>
      <xdr:rowOff>235744</xdr:rowOff>
    </xdr:from>
    <xdr:ext cx="184731" cy="264560"/>
    <xdr:sp macro="" textlink="">
      <xdr:nvSpPr>
        <xdr:cNvPr id="9" name="TextBox 8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10" name="TextBox 9"/>
        <xdr:cNvSpPr txBox="1"/>
      </xdr:nvSpPr>
      <xdr:spPr>
        <a:xfrm>
          <a:off x="18349310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11" name="TextBox 10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8</xdr:row>
      <xdr:rowOff>235744</xdr:rowOff>
    </xdr:from>
    <xdr:ext cx="184731" cy="264560"/>
    <xdr:sp macro="" textlink="">
      <xdr:nvSpPr>
        <xdr:cNvPr id="12" name="TextBox 11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9</xdr:row>
      <xdr:rowOff>235744</xdr:rowOff>
    </xdr:from>
    <xdr:ext cx="184731" cy="264560"/>
    <xdr:sp macro="" textlink="">
      <xdr:nvSpPr>
        <xdr:cNvPr id="13" name="TextBox 12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10</xdr:row>
      <xdr:rowOff>235744</xdr:rowOff>
    </xdr:from>
    <xdr:ext cx="184731" cy="264560"/>
    <xdr:sp macro="" textlink="">
      <xdr:nvSpPr>
        <xdr:cNvPr id="14" name="TextBox 13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11</xdr:row>
      <xdr:rowOff>235744</xdr:rowOff>
    </xdr:from>
    <xdr:ext cx="184731" cy="264560"/>
    <xdr:sp macro="" textlink="">
      <xdr:nvSpPr>
        <xdr:cNvPr id="15" name="TextBox 14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235744</xdr:rowOff>
    </xdr:from>
    <xdr:ext cx="184731" cy="264560"/>
    <xdr:sp macro="" textlink="">
      <xdr:nvSpPr>
        <xdr:cNvPr id="16" name="TextBox 15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13</xdr:row>
      <xdr:rowOff>235744</xdr:rowOff>
    </xdr:from>
    <xdr:ext cx="184731" cy="264560"/>
    <xdr:sp macro="" textlink="">
      <xdr:nvSpPr>
        <xdr:cNvPr id="17" name="TextBox 16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14</xdr:row>
      <xdr:rowOff>235744</xdr:rowOff>
    </xdr:from>
    <xdr:ext cx="184731" cy="264560"/>
    <xdr:sp macro="" textlink="">
      <xdr:nvSpPr>
        <xdr:cNvPr id="18" name="TextBox 17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8</xdr:row>
      <xdr:rowOff>235744</xdr:rowOff>
    </xdr:from>
    <xdr:ext cx="184731" cy="264560"/>
    <xdr:sp macro="" textlink="">
      <xdr:nvSpPr>
        <xdr:cNvPr id="19" name="TextBox 18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9</xdr:row>
      <xdr:rowOff>235744</xdr:rowOff>
    </xdr:from>
    <xdr:ext cx="184731" cy="264560"/>
    <xdr:sp macro="" textlink="">
      <xdr:nvSpPr>
        <xdr:cNvPr id="20" name="TextBox 19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10</xdr:row>
      <xdr:rowOff>235744</xdr:rowOff>
    </xdr:from>
    <xdr:ext cx="184731" cy="264560"/>
    <xdr:sp macro="" textlink="">
      <xdr:nvSpPr>
        <xdr:cNvPr id="21" name="TextBox 20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11</xdr:row>
      <xdr:rowOff>235744</xdr:rowOff>
    </xdr:from>
    <xdr:ext cx="184731" cy="264560"/>
    <xdr:sp macro="" textlink="">
      <xdr:nvSpPr>
        <xdr:cNvPr id="22" name="TextBox 21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235744</xdr:rowOff>
    </xdr:from>
    <xdr:ext cx="184731" cy="264560"/>
    <xdr:sp macro="" textlink="">
      <xdr:nvSpPr>
        <xdr:cNvPr id="23" name="TextBox 22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13</xdr:row>
      <xdr:rowOff>235744</xdr:rowOff>
    </xdr:from>
    <xdr:ext cx="184731" cy="264560"/>
    <xdr:sp macro="" textlink="">
      <xdr:nvSpPr>
        <xdr:cNvPr id="24" name="TextBox 23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14</xdr:row>
      <xdr:rowOff>235744</xdr:rowOff>
    </xdr:from>
    <xdr:ext cx="184731" cy="264560"/>
    <xdr:sp macro="" textlink="">
      <xdr:nvSpPr>
        <xdr:cNvPr id="25" name="TextBox 24"/>
        <xdr:cNvSpPr txBox="1"/>
      </xdr:nvSpPr>
      <xdr:spPr>
        <a:xfrm>
          <a:off x="21108276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26" name="TextBox 25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27" name="TextBox 26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28" name="TextBox 27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29" name="TextBox 28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30" name="TextBox 29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31" name="TextBox 30"/>
        <xdr:cNvSpPr txBox="1"/>
      </xdr:nvSpPr>
      <xdr:spPr>
        <a:xfrm>
          <a:off x="21108276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8</xdr:row>
      <xdr:rowOff>235744</xdr:rowOff>
    </xdr:from>
    <xdr:ext cx="184731" cy="264560"/>
    <xdr:sp macro="" textlink="">
      <xdr:nvSpPr>
        <xdr:cNvPr id="32" name="TextBox 31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9</xdr:row>
      <xdr:rowOff>235744</xdr:rowOff>
    </xdr:from>
    <xdr:ext cx="184731" cy="264560"/>
    <xdr:sp macro="" textlink="">
      <xdr:nvSpPr>
        <xdr:cNvPr id="33" name="TextBox 32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10</xdr:row>
      <xdr:rowOff>235744</xdr:rowOff>
    </xdr:from>
    <xdr:ext cx="184731" cy="264560"/>
    <xdr:sp macro="" textlink="">
      <xdr:nvSpPr>
        <xdr:cNvPr id="34" name="TextBox 33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11</xdr:row>
      <xdr:rowOff>235744</xdr:rowOff>
    </xdr:from>
    <xdr:ext cx="184731" cy="264560"/>
    <xdr:sp macro="" textlink="">
      <xdr:nvSpPr>
        <xdr:cNvPr id="35" name="TextBox 34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235744</xdr:rowOff>
    </xdr:from>
    <xdr:ext cx="184731" cy="264560"/>
    <xdr:sp macro="" textlink="">
      <xdr:nvSpPr>
        <xdr:cNvPr id="36" name="TextBox 35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13</xdr:row>
      <xdr:rowOff>235744</xdr:rowOff>
    </xdr:from>
    <xdr:ext cx="184731" cy="264560"/>
    <xdr:sp macro="" textlink="">
      <xdr:nvSpPr>
        <xdr:cNvPr id="37" name="TextBox 36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14</xdr:row>
      <xdr:rowOff>235744</xdr:rowOff>
    </xdr:from>
    <xdr:ext cx="184731" cy="264560"/>
    <xdr:sp macro="" textlink="">
      <xdr:nvSpPr>
        <xdr:cNvPr id="38" name="TextBox 37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8</xdr:row>
      <xdr:rowOff>235744</xdr:rowOff>
    </xdr:from>
    <xdr:ext cx="184731" cy="264560"/>
    <xdr:sp macro="" textlink="">
      <xdr:nvSpPr>
        <xdr:cNvPr id="39" name="TextBox 38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9</xdr:row>
      <xdr:rowOff>235744</xdr:rowOff>
    </xdr:from>
    <xdr:ext cx="184731" cy="264560"/>
    <xdr:sp macro="" textlink="">
      <xdr:nvSpPr>
        <xdr:cNvPr id="40" name="TextBox 39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10</xdr:row>
      <xdr:rowOff>235744</xdr:rowOff>
    </xdr:from>
    <xdr:ext cx="184731" cy="264560"/>
    <xdr:sp macro="" textlink="">
      <xdr:nvSpPr>
        <xdr:cNvPr id="41" name="TextBox 40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11</xdr:row>
      <xdr:rowOff>235744</xdr:rowOff>
    </xdr:from>
    <xdr:ext cx="184731" cy="264560"/>
    <xdr:sp macro="" textlink="">
      <xdr:nvSpPr>
        <xdr:cNvPr id="42" name="TextBox 41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235744</xdr:rowOff>
    </xdr:from>
    <xdr:ext cx="184731" cy="264560"/>
    <xdr:sp macro="" textlink="">
      <xdr:nvSpPr>
        <xdr:cNvPr id="43" name="TextBox 42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13</xdr:row>
      <xdr:rowOff>235744</xdr:rowOff>
    </xdr:from>
    <xdr:ext cx="184731" cy="264560"/>
    <xdr:sp macro="" textlink="">
      <xdr:nvSpPr>
        <xdr:cNvPr id="44" name="TextBox 43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14</xdr:row>
      <xdr:rowOff>235744</xdr:rowOff>
    </xdr:from>
    <xdr:ext cx="184731" cy="264560"/>
    <xdr:sp macro="" textlink="">
      <xdr:nvSpPr>
        <xdr:cNvPr id="45" name="TextBox 44"/>
        <xdr:cNvSpPr txBox="1"/>
      </xdr:nvSpPr>
      <xdr:spPr>
        <a:xfrm>
          <a:off x="22235948" y="458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46" name="TextBox 45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47" name="TextBox 46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48" name="TextBox 47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49" name="TextBox 48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15</xdr:row>
      <xdr:rowOff>235744</xdr:rowOff>
    </xdr:from>
    <xdr:ext cx="184731" cy="264560"/>
    <xdr:sp macro="" textlink="">
      <xdr:nvSpPr>
        <xdr:cNvPr id="50" name="TextBox 49"/>
        <xdr:cNvSpPr txBox="1"/>
      </xdr:nvSpPr>
      <xdr:spPr>
        <a:xfrm>
          <a:off x="22235948" y="5732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_Mash/&#1056;&#1072;&#1073;&#1086;&#1095;&#1080;&#1081;%20&#1089;&#1090;&#1086;&#1083;/&#1056;&#1060;&#1060;&#1055;&#1055;%20&#1057;&#1086;&#1088;&#1090;&#1072;&#1074;&#1072;&#1083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"/>
      <sheetName val="Диаграмма1"/>
      <sheetName val="для диаграммы"/>
    </sheetNames>
    <sheetDataSet>
      <sheetData sheetId="0">
        <row r="9">
          <cell r="J9" t="str">
            <v>Уровень  бюджетной обеспеченности (до выравнивания) (БОп)</v>
          </cell>
          <cell r="N9" t="str">
            <v>Уровень  бюджетной обеспеченности (после  выравнивания) (БО)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IF393"/>
  <sheetViews>
    <sheetView tabSelected="1" view="pageBreakPreview" zoomScale="83" zoomScaleNormal="83" zoomScaleSheetLayoutView="83" workbookViewId="0">
      <pane xSplit="1" topLeftCell="B1" activePane="topRight" state="frozen"/>
      <selection activeCell="A7" sqref="A7"/>
      <selection pane="topRight" activeCell="B5" sqref="B5"/>
    </sheetView>
  </sheetViews>
  <sheetFormatPr defaultRowHeight="15.75"/>
  <cols>
    <col min="1" max="1" width="33.140625" style="27" customWidth="1"/>
    <col min="2" max="3" width="10.7109375" style="27" customWidth="1"/>
    <col min="4" max="4" width="11.5703125" style="27" customWidth="1"/>
    <col min="5" max="5" width="11.28515625" style="27" customWidth="1"/>
    <col min="6" max="7" width="10.7109375" style="27" customWidth="1"/>
    <col min="8" max="9" width="10.7109375" style="27" hidden="1" customWidth="1"/>
    <col min="10" max="10" width="12.28515625" style="27" customWidth="1"/>
    <col min="11" max="11" width="11.85546875" style="27" customWidth="1"/>
    <col min="12" max="12" width="12.5703125" style="27" customWidth="1"/>
    <col min="13" max="13" width="13.85546875" style="27" customWidth="1"/>
    <col min="14" max="14" width="14.7109375" style="6" customWidth="1"/>
    <col min="15" max="15" width="12.140625" style="6" customWidth="1"/>
    <col min="16" max="16" width="5.7109375" style="6" customWidth="1"/>
    <col min="17" max="17" width="5.7109375" style="27" customWidth="1"/>
    <col min="18" max="18" width="0.140625" style="6" hidden="1" customWidth="1"/>
    <col min="19" max="19" width="5.7109375" style="27" hidden="1" customWidth="1"/>
    <col min="20" max="20" width="8" style="27" hidden="1" customWidth="1"/>
    <col min="21" max="21" width="7.7109375" style="27" hidden="1" customWidth="1"/>
    <col min="22" max="23" width="9.140625" style="27" hidden="1" customWidth="1"/>
    <col min="24" max="24" width="9" style="27" hidden="1" customWidth="1"/>
    <col min="25" max="25" width="8.5703125" style="27" hidden="1" customWidth="1"/>
    <col min="26" max="26" width="10.140625" style="27" customWidth="1"/>
    <col min="27" max="27" width="10.85546875" style="27" hidden="1" customWidth="1"/>
    <col min="28" max="16384" width="9.140625" style="27"/>
  </cols>
  <sheetData>
    <row r="1" spans="1:240" ht="7.5" customHeight="1"/>
    <row r="2" spans="1:240" ht="29.25" customHeight="1">
      <c r="A2" s="7" t="s">
        <v>0</v>
      </c>
      <c r="B2" s="99">
        <f>C22/B22</f>
        <v>2334.3639893578775</v>
      </c>
      <c r="C2" s="8"/>
      <c r="D2" s="8"/>
      <c r="E2" s="8"/>
      <c r="F2" s="8"/>
      <c r="G2" s="9"/>
      <c r="H2" s="8"/>
      <c r="I2" s="8"/>
      <c r="J2" s="8"/>
      <c r="K2" s="8"/>
      <c r="L2" s="8"/>
      <c r="M2" s="8"/>
      <c r="N2" s="8"/>
      <c r="O2" s="8"/>
      <c r="P2" s="8"/>
      <c r="R2" s="8"/>
    </row>
    <row r="3" spans="1:240" ht="29.25" customHeight="1">
      <c r="A3" s="10" t="s">
        <v>62</v>
      </c>
      <c r="B3" s="101">
        <f>M26</f>
        <v>1.2486846363985802</v>
      </c>
      <c r="C3" s="12"/>
      <c r="D3" s="12"/>
      <c r="E3" s="12"/>
      <c r="F3" s="11"/>
      <c r="G3" s="11"/>
      <c r="H3" s="8"/>
      <c r="I3" s="13"/>
      <c r="J3" s="8"/>
      <c r="K3" s="8"/>
      <c r="L3" s="8"/>
      <c r="M3" s="8"/>
      <c r="N3" s="232"/>
      <c r="O3" s="232"/>
      <c r="P3" s="14"/>
      <c r="R3" s="14"/>
    </row>
    <row r="4" spans="1:240" ht="38.25" customHeight="1">
      <c r="A4" s="10" t="s">
        <v>16</v>
      </c>
      <c r="B4" s="102">
        <v>14000</v>
      </c>
      <c r="C4" s="14"/>
      <c r="D4" s="14"/>
      <c r="E4" s="14"/>
      <c r="F4" s="14"/>
      <c r="G4" s="15"/>
      <c r="H4" s="8"/>
      <c r="I4" s="8"/>
      <c r="J4" s="8"/>
      <c r="K4" s="233"/>
      <c r="L4" s="233"/>
      <c r="M4" s="8"/>
      <c r="N4" s="14"/>
      <c r="O4" s="14"/>
      <c r="P4" s="14"/>
      <c r="R4" s="14"/>
    </row>
    <row r="5" spans="1:240" ht="21" customHeight="1">
      <c r="A5" s="10" t="s">
        <v>17</v>
      </c>
      <c r="B5" s="95"/>
      <c r="C5" s="16"/>
      <c r="D5" s="16"/>
      <c r="E5" s="16"/>
      <c r="F5" s="17"/>
      <c r="G5" s="18"/>
      <c r="H5" s="18"/>
      <c r="I5" s="8"/>
      <c r="J5" s="8"/>
      <c r="K5" s="8"/>
      <c r="L5" s="8"/>
      <c r="M5" s="8"/>
      <c r="N5" s="14"/>
      <c r="O5" s="14"/>
      <c r="P5" s="14"/>
      <c r="R5" s="14"/>
    </row>
    <row r="6" spans="1:240" ht="63" customHeight="1">
      <c r="A6" s="10" t="s">
        <v>57</v>
      </c>
      <c r="B6" s="95">
        <v>0</v>
      </c>
      <c r="C6" s="16"/>
      <c r="D6" s="16"/>
      <c r="E6" s="16"/>
      <c r="F6" s="17"/>
      <c r="G6" s="18"/>
      <c r="H6" s="18"/>
      <c r="I6" s="8"/>
      <c r="J6" s="8"/>
      <c r="K6" s="234" t="s">
        <v>81</v>
      </c>
      <c r="L6" s="234"/>
      <c r="M6" s="8"/>
      <c r="N6" s="14"/>
      <c r="O6" s="14"/>
      <c r="P6" s="14"/>
      <c r="R6" s="14"/>
    </row>
    <row r="7" spans="1:240" ht="6" customHeight="1" thickBot="1">
      <c r="A7" s="19"/>
      <c r="B7" s="20"/>
      <c r="C7" s="14"/>
      <c r="D7" s="14"/>
      <c r="E7" s="14"/>
      <c r="F7" s="14"/>
      <c r="G7" s="8"/>
      <c r="H7" s="14"/>
      <c r="I7" s="14"/>
      <c r="J7" s="8"/>
      <c r="K7" s="8"/>
      <c r="L7" s="8"/>
      <c r="M7" s="8"/>
      <c r="N7" s="14"/>
      <c r="O7" s="14"/>
      <c r="P7" s="21"/>
      <c r="R7" s="21"/>
    </row>
    <row r="8" spans="1:240" ht="25.5" customHeight="1">
      <c r="A8" s="222" t="s">
        <v>26</v>
      </c>
      <c r="B8" s="235" t="s">
        <v>82</v>
      </c>
      <c r="C8" s="235" t="s">
        <v>70</v>
      </c>
      <c r="D8" s="236" t="s">
        <v>65</v>
      </c>
      <c r="E8" s="236" t="s">
        <v>71</v>
      </c>
      <c r="F8" s="222" t="s">
        <v>1</v>
      </c>
      <c r="G8" s="222" t="s">
        <v>67</v>
      </c>
      <c r="H8" s="222" t="s">
        <v>2</v>
      </c>
      <c r="I8" s="222" t="s">
        <v>35</v>
      </c>
      <c r="J8" s="221" t="s">
        <v>68</v>
      </c>
      <c r="K8" s="222" t="s">
        <v>69</v>
      </c>
      <c r="L8" s="222" t="s">
        <v>3</v>
      </c>
      <c r="M8" s="223" t="s">
        <v>23</v>
      </c>
      <c r="N8" s="222" t="s">
        <v>4</v>
      </c>
      <c r="O8" s="222" t="s">
        <v>5</v>
      </c>
      <c r="P8" s="219" t="s">
        <v>18</v>
      </c>
      <c r="Q8" s="219"/>
      <c r="R8" s="220" t="s">
        <v>19</v>
      </c>
      <c r="S8" s="219"/>
      <c r="T8" s="24"/>
      <c r="U8" s="24"/>
      <c r="V8" s="24"/>
      <c r="W8" s="24"/>
      <c r="X8" s="82" t="s">
        <v>51</v>
      </c>
      <c r="Y8" s="83" t="s">
        <v>50</v>
      </c>
      <c r="Z8" s="224" t="s">
        <v>66</v>
      </c>
      <c r="AA8" s="227" t="s">
        <v>56</v>
      </c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</row>
    <row r="9" spans="1:240" ht="24" customHeight="1">
      <c r="A9" s="222"/>
      <c r="B9" s="235"/>
      <c r="C9" s="235"/>
      <c r="D9" s="237"/>
      <c r="E9" s="237"/>
      <c r="F9" s="222"/>
      <c r="G9" s="222"/>
      <c r="H9" s="222"/>
      <c r="I9" s="222"/>
      <c r="J9" s="221"/>
      <c r="K9" s="222"/>
      <c r="L9" s="222"/>
      <c r="M9" s="223"/>
      <c r="N9" s="222"/>
      <c r="O9" s="222"/>
      <c r="P9" s="219"/>
      <c r="Q9" s="219"/>
      <c r="R9" s="219"/>
      <c r="S9" s="219"/>
      <c r="T9" s="24"/>
      <c r="U9" s="24"/>
      <c r="V9" s="24"/>
      <c r="W9" s="24"/>
      <c r="X9" s="230" t="s">
        <v>52</v>
      </c>
      <c r="Y9" s="230" t="s">
        <v>52</v>
      </c>
      <c r="Z9" s="225"/>
      <c r="AA9" s="228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</row>
    <row r="10" spans="1:240" ht="37.5" customHeight="1" thickBot="1">
      <c r="A10" s="222"/>
      <c r="B10" s="235"/>
      <c r="C10" s="235"/>
      <c r="D10" s="238"/>
      <c r="E10" s="238"/>
      <c r="F10" s="222"/>
      <c r="G10" s="222"/>
      <c r="H10" s="222"/>
      <c r="I10" s="222"/>
      <c r="J10" s="221"/>
      <c r="K10" s="222"/>
      <c r="L10" s="222"/>
      <c r="M10" s="223"/>
      <c r="N10" s="222"/>
      <c r="O10" s="222"/>
      <c r="P10" s="219"/>
      <c r="Q10" s="219"/>
      <c r="R10" s="219"/>
      <c r="S10" s="219"/>
      <c r="T10" s="231" t="s">
        <v>49</v>
      </c>
      <c r="U10" s="231"/>
      <c r="V10" s="24"/>
      <c r="W10" s="24"/>
      <c r="X10" s="230"/>
      <c r="Y10" s="230"/>
      <c r="Z10" s="226"/>
      <c r="AA10" s="229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</row>
    <row r="11" spans="1:240" ht="71.25" hidden="1" customHeight="1" thickBot="1">
      <c r="A11" s="222"/>
      <c r="B11" s="22"/>
      <c r="C11" s="22"/>
      <c r="D11" s="22"/>
      <c r="E11" s="22"/>
      <c r="F11" s="22"/>
      <c r="G11" s="22" t="s">
        <v>27</v>
      </c>
      <c r="H11" s="22"/>
      <c r="I11" s="22"/>
      <c r="J11" s="22" t="s">
        <v>28</v>
      </c>
      <c r="K11" s="22" t="s">
        <v>29</v>
      </c>
      <c r="L11" s="22" t="s">
        <v>30</v>
      </c>
      <c r="M11" s="223"/>
      <c r="N11" s="222"/>
      <c r="O11" s="222"/>
      <c r="P11" s="22" t="s">
        <v>20</v>
      </c>
      <c r="Q11" s="22" t="s">
        <v>21</v>
      </c>
      <c r="R11" s="22" t="s">
        <v>22</v>
      </c>
      <c r="S11" s="22" t="s">
        <v>21</v>
      </c>
      <c r="T11" s="23" t="s">
        <v>47</v>
      </c>
      <c r="U11" s="23" t="s">
        <v>48</v>
      </c>
      <c r="V11" s="24"/>
      <c r="W11" s="24"/>
      <c r="X11" s="24"/>
      <c r="Y11" s="24"/>
      <c r="Z11" s="24"/>
      <c r="AA11" s="25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</row>
    <row r="12" spans="1:240" s="87" customFormat="1" ht="12" customHeight="1" thickBot="1">
      <c r="A12" s="28" t="s">
        <v>6</v>
      </c>
      <c r="B12" s="28" t="s">
        <v>7</v>
      </c>
      <c r="C12" s="28" t="s">
        <v>8</v>
      </c>
      <c r="D12" s="28" t="s">
        <v>9</v>
      </c>
      <c r="E12" s="28" t="s">
        <v>10</v>
      </c>
      <c r="F12" s="28" t="s">
        <v>11</v>
      </c>
      <c r="G12" s="28" t="s">
        <v>12</v>
      </c>
      <c r="H12" s="28" t="s">
        <v>11</v>
      </c>
      <c r="I12" s="28" t="s">
        <v>12</v>
      </c>
      <c r="J12" s="28" t="s">
        <v>13</v>
      </c>
      <c r="K12" s="28" t="s">
        <v>14</v>
      </c>
      <c r="L12" s="28" t="s">
        <v>15</v>
      </c>
      <c r="M12" s="110" t="s">
        <v>31</v>
      </c>
      <c r="N12" s="28" t="s">
        <v>32</v>
      </c>
      <c r="O12" s="28" t="s">
        <v>33</v>
      </c>
      <c r="P12" s="28" t="s">
        <v>63</v>
      </c>
      <c r="Q12" s="28" t="s">
        <v>64</v>
      </c>
      <c r="R12" s="28" t="s">
        <v>34</v>
      </c>
      <c r="S12" s="28" t="s">
        <v>36</v>
      </c>
      <c r="T12" s="29"/>
      <c r="U12" s="29"/>
      <c r="V12" s="84"/>
      <c r="W12" s="84"/>
      <c r="X12" s="84"/>
      <c r="Y12" s="84"/>
      <c r="Z12" s="29">
        <v>16</v>
      </c>
      <c r="AA12" s="85">
        <v>15</v>
      </c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</row>
    <row r="13" spans="1:240" ht="17.25" customHeight="1">
      <c r="A13" s="103" t="s">
        <v>72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111"/>
      <c r="N13" s="30"/>
      <c r="O13" s="31"/>
      <c r="P13" s="5"/>
      <c r="Q13" s="5"/>
      <c r="R13" s="5"/>
      <c r="S13" s="5"/>
      <c r="T13" s="23"/>
      <c r="U13" s="23"/>
      <c r="V13" s="24"/>
      <c r="W13" s="24"/>
      <c r="X13" s="24"/>
      <c r="Y13" s="24"/>
      <c r="Z13" s="24"/>
      <c r="AA13" s="88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</row>
    <row r="14" spans="1:240" ht="20.100000000000001" customHeight="1">
      <c r="A14" s="104" t="s">
        <v>73</v>
      </c>
      <c r="B14" s="105">
        <v>7.9379999999999997</v>
      </c>
      <c r="C14" s="106">
        <v>28800</v>
      </c>
      <c r="D14" s="108">
        <f>доход!F6</f>
        <v>1474.8390000000018</v>
      </c>
      <c r="E14" s="108">
        <f>C14+D14</f>
        <v>30274.839</v>
      </c>
      <c r="F14" s="109">
        <f t="shared" ref="F14:F22" si="0">E14/B14</f>
        <v>3813.9126984126983</v>
      </c>
      <c r="G14" s="107">
        <f>доход!L6</f>
        <v>1.5336698523757026</v>
      </c>
      <c r="H14" s="32">
        <v>0</v>
      </c>
      <c r="I14" s="32">
        <f t="shared" ref="I14:I22" si="1">H14/B14</f>
        <v>0</v>
      </c>
      <c r="J14" s="107">
        <f>расходы!X9</f>
        <v>0.84151830243660897</v>
      </c>
      <c r="K14" s="5">
        <f>IF(J14&gt;0,G14/J14,0)</f>
        <v>1.8225032633692873</v>
      </c>
      <c r="L14" s="32">
        <f t="shared" ref="L14:L21" si="2">ROUND(IF(K14&lt;B$3,B$2*(B$3-K14)*J14*B14,0),0)</f>
        <v>0</v>
      </c>
      <c r="M14" s="112">
        <f t="shared" ref="M14:M21" si="3">ROUND(L14/$L$22*$B$4,1)</f>
        <v>0</v>
      </c>
      <c r="N14" s="32">
        <f t="shared" ref="N14:N22" si="4">(C14+M14)/B14/J14</f>
        <v>4311.3951334475023</v>
      </c>
      <c r="O14" s="5">
        <f t="shared" ref="O14:O21" si="5">M14/(J14*B14*$B$2)+G14/J14</f>
        <v>1.8225032633692873</v>
      </c>
      <c r="P14" s="33">
        <f t="shared" ref="P14:P21" si="6">RANK(K14,$K$14:$K$21,0)</f>
        <v>1</v>
      </c>
      <c r="Q14" s="33">
        <f>RANK(O14,$O$14:$O$21,0)</f>
        <v>1</v>
      </c>
      <c r="R14" s="34">
        <f>G14/J14*100</f>
        <v>182.25032633692874</v>
      </c>
      <c r="S14" s="34" t="e">
        <f>(G14+J14)/M14*100</f>
        <v>#DIV/0!</v>
      </c>
      <c r="T14" s="23">
        <v>0</v>
      </c>
      <c r="U14" s="34">
        <f>M14-T14</f>
        <v>0</v>
      </c>
      <c r="V14" s="24"/>
      <c r="W14" s="35">
        <v>0</v>
      </c>
      <c r="X14" s="24">
        <v>0</v>
      </c>
      <c r="Y14" s="24">
        <v>0</v>
      </c>
      <c r="Z14" s="100">
        <v>0</v>
      </c>
      <c r="AA14" s="89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</row>
    <row r="15" spans="1:240" ht="20.100000000000001" customHeight="1">
      <c r="A15" s="104" t="s">
        <v>74</v>
      </c>
      <c r="B15" s="105">
        <v>1.6759999999999999</v>
      </c>
      <c r="C15" s="106">
        <v>884</v>
      </c>
      <c r="D15" s="108">
        <f>доход!F7</f>
        <v>185.62</v>
      </c>
      <c r="E15" s="108">
        <f t="shared" ref="E15:E21" si="7">C15+D15</f>
        <v>1069.6199999999999</v>
      </c>
      <c r="F15" s="109">
        <f t="shared" si="0"/>
        <v>638.19809069212408</v>
      </c>
      <c r="G15" s="107">
        <f>доход!L7</f>
        <v>0.25663544211318812</v>
      </c>
      <c r="H15" s="32">
        <v>0</v>
      </c>
      <c r="I15" s="32">
        <f t="shared" si="1"/>
        <v>0</v>
      </c>
      <c r="J15" s="107">
        <f>расходы!X10</f>
        <v>3.8636333014980022</v>
      </c>
      <c r="K15" s="5">
        <f t="shared" ref="K15:K21" si="8">IF(J15&gt;0,G15/J15,0)</f>
        <v>6.6423343543934615E-2</v>
      </c>
      <c r="L15" s="32">
        <f t="shared" si="2"/>
        <v>17871</v>
      </c>
      <c r="M15" s="113">
        <f t="shared" si="3"/>
        <v>4554.2</v>
      </c>
      <c r="N15" s="32">
        <f t="shared" si="4"/>
        <v>839.81815823029558</v>
      </c>
      <c r="O15" s="5">
        <f t="shared" si="5"/>
        <v>0.36770563718544014</v>
      </c>
      <c r="P15" s="33">
        <f t="shared" si="6"/>
        <v>6</v>
      </c>
      <c r="Q15" s="33">
        <f>RANK(O15,$O$14:$O$21,0)</f>
        <v>6</v>
      </c>
      <c r="R15" s="34">
        <f t="shared" ref="R15:R21" si="9">G15/J15*100</f>
        <v>6.6423343543934612</v>
      </c>
      <c r="S15" s="34" t="e">
        <f>(C15+M15)/H15*100</f>
        <v>#DIV/0!</v>
      </c>
      <c r="T15" s="23"/>
      <c r="U15" s="34">
        <f>M15-T15</f>
        <v>4554.2</v>
      </c>
      <c r="V15" s="24"/>
      <c r="W15" s="35">
        <v>2854</v>
      </c>
      <c r="X15" s="90">
        <f t="shared" ref="X15:X21" si="10">M15-W15</f>
        <v>1700.1999999999998</v>
      </c>
      <c r="Y15" s="24">
        <v>676</v>
      </c>
      <c r="Z15" s="100">
        <v>0</v>
      </c>
      <c r="AA15" s="89">
        <f>M15-Z15</f>
        <v>4554.2</v>
      </c>
      <c r="AB15" s="26"/>
      <c r="AC15" s="91"/>
      <c r="AD15" s="26"/>
      <c r="AE15" s="91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</row>
    <row r="16" spans="1:240" ht="20.100000000000001" customHeight="1">
      <c r="A16" s="104" t="s">
        <v>75</v>
      </c>
      <c r="B16" s="105">
        <v>0.27600000000000002</v>
      </c>
      <c r="C16" s="106">
        <v>213</v>
      </c>
      <c r="D16" s="108">
        <f>доход!F8</f>
        <v>48.750000000000014</v>
      </c>
      <c r="E16" s="108">
        <f t="shared" si="7"/>
        <v>261.75</v>
      </c>
      <c r="F16" s="109">
        <f t="shared" si="0"/>
        <v>948.36956521739125</v>
      </c>
      <c r="G16" s="107">
        <f>доход!L8</f>
        <v>0.38136316326535324</v>
      </c>
      <c r="H16" s="32">
        <v>0</v>
      </c>
      <c r="I16" s="32">
        <f t="shared" si="1"/>
        <v>0</v>
      </c>
      <c r="J16" s="107">
        <f>расходы!X11</f>
        <v>3.8741829307721676</v>
      </c>
      <c r="K16" s="5">
        <f>IF(J16&gt;0,G16/J16,0)</f>
        <v>9.8437056298047165E-2</v>
      </c>
      <c r="L16" s="32">
        <f>ROUND(IF(K16&lt;B$3,B$2*(B$3-K16)*J16*B16,0),0)</f>
        <v>2871</v>
      </c>
      <c r="M16" s="113">
        <f>ROUND(L16/$L$22*$B$4,1)</f>
        <v>731.6</v>
      </c>
      <c r="N16" s="32">
        <f t="shared" si="4"/>
        <v>883.40272756139757</v>
      </c>
      <c r="O16" s="5">
        <f t="shared" si="5"/>
        <v>0.39153712238649258</v>
      </c>
      <c r="P16" s="33">
        <f t="shared" si="6"/>
        <v>4</v>
      </c>
      <c r="Q16" s="33">
        <f>RANK(O16,$O$14:$O$21,0)</f>
        <v>4</v>
      </c>
      <c r="R16" s="34">
        <f t="shared" si="9"/>
        <v>9.8437056298047168</v>
      </c>
      <c r="S16" s="34" t="e">
        <f t="shared" ref="S16:S21" si="11">(C16+M16)/H16*100</f>
        <v>#DIV/0!</v>
      </c>
      <c r="T16" s="23"/>
      <c r="U16" s="34">
        <f t="shared" ref="U16:U21" si="12">M16-T16</f>
        <v>731.6</v>
      </c>
      <c r="V16" s="24"/>
      <c r="W16" s="35">
        <v>1373</v>
      </c>
      <c r="X16" s="90">
        <f t="shared" si="10"/>
        <v>-641.4</v>
      </c>
      <c r="Y16" s="24">
        <v>283</v>
      </c>
      <c r="Z16" s="100">
        <v>0</v>
      </c>
      <c r="AA16" s="89">
        <f t="shared" ref="AA16:AA21" si="13">M16-Z16</f>
        <v>731.6</v>
      </c>
      <c r="AB16" s="26"/>
      <c r="AC16" s="91"/>
      <c r="AD16" s="26"/>
      <c r="AE16" s="91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</row>
    <row r="17" spans="1:240" ht="20.100000000000001" customHeight="1">
      <c r="A17" s="104" t="s">
        <v>76</v>
      </c>
      <c r="B17" s="105">
        <v>0.84099999999999997</v>
      </c>
      <c r="C17" s="106">
        <v>341</v>
      </c>
      <c r="D17" s="108">
        <f>доход!F9</f>
        <v>46.5</v>
      </c>
      <c r="E17" s="108">
        <f t="shared" si="7"/>
        <v>387.5</v>
      </c>
      <c r="F17" s="109">
        <f t="shared" si="0"/>
        <v>460.76099881093938</v>
      </c>
      <c r="G17" s="107">
        <f>доход!L9</f>
        <v>0.1852835418390556</v>
      </c>
      <c r="H17" s="32">
        <v>0</v>
      </c>
      <c r="I17" s="32">
        <f t="shared" si="1"/>
        <v>0</v>
      </c>
      <c r="J17" s="107">
        <f>расходы!X12</f>
        <v>3.4772589605822803</v>
      </c>
      <c r="K17" s="5">
        <f t="shared" si="8"/>
        <v>5.3284366778374524E-2</v>
      </c>
      <c r="L17" s="32">
        <f t="shared" si="2"/>
        <v>8160</v>
      </c>
      <c r="M17" s="113">
        <f t="shared" si="3"/>
        <v>2079.5</v>
      </c>
      <c r="N17" s="32">
        <f t="shared" si="4"/>
        <v>827.69828672856192</v>
      </c>
      <c r="O17" s="5">
        <f t="shared" si="5"/>
        <v>0.3579035988322336</v>
      </c>
      <c r="P17" s="33">
        <f t="shared" si="6"/>
        <v>7</v>
      </c>
      <c r="Q17" s="33">
        <f>RANK(O17,$O$14:$O$21,0)</f>
        <v>7</v>
      </c>
      <c r="R17" s="34">
        <f t="shared" si="9"/>
        <v>5.3284366778374528</v>
      </c>
      <c r="S17" s="34" t="e">
        <f t="shared" si="11"/>
        <v>#DIV/0!</v>
      </c>
      <c r="T17" s="23"/>
      <c r="U17" s="34">
        <f t="shared" si="12"/>
        <v>2079.5</v>
      </c>
      <c r="V17" s="24"/>
      <c r="W17" s="35">
        <v>2114</v>
      </c>
      <c r="X17" s="90">
        <f t="shared" si="10"/>
        <v>-34.5</v>
      </c>
      <c r="Y17" s="24">
        <v>364</v>
      </c>
      <c r="Z17" s="100">
        <v>0</v>
      </c>
      <c r="AA17" s="89">
        <f t="shared" si="13"/>
        <v>2079.5</v>
      </c>
      <c r="AB17" s="26"/>
      <c r="AC17" s="91"/>
      <c r="AD17" s="26"/>
      <c r="AE17" s="91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</row>
    <row r="18" spans="1:240" ht="20.100000000000001" customHeight="1">
      <c r="A18" s="104" t="s">
        <v>77</v>
      </c>
      <c r="B18" s="105">
        <v>1.268</v>
      </c>
      <c r="C18" s="106">
        <v>1342</v>
      </c>
      <c r="D18" s="108">
        <f>доход!F10</f>
        <v>-69.5</v>
      </c>
      <c r="E18" s="108">
        <f t="shared" si="7"/>
        <v>1272.5</v>
      </c>
      <c r="F18" s="109">
        <f t="shared" si="0"/>
        <v>1003.5488958990536</v>
      </c>
      <c r="G18" s="107">
        <f>доход!L10</f>
        <v>0.40355215463265848</v>
      </c>
      <c r="H18" s="32">
        <v>0</v>
      </c>
      <c r="I18" s="32">
        <f t="shared" si="1"/>
        <v>0</v>
      </c>
      <c r="J18" s="107">
        <f>расходы!X13</f>
        <v>2.9169720333980886</v>
      </c>
      <c r="K18" s="5">
        <f t="shared" si="8"/>
        <v>0.13834625427057853</v>
      </c>
      <c r="L18" s="32">
        <f t="shared" si="2"/>
        <v>9587</v>
      </c>
      <c r="M18" s="113">
        <f t="shared" si="3"/>
        <v>2443.1</v>
      </c>
      <c r="N18" s="32">
        <f t="shared" si="4"/>
        <v>1023.3538762270982</v>
      </c>
      <c r="O18" s="5">
        <f t="shared" si="5"/>
        <v>0.42130371522909016</v>
      </c>
      <c r="P18" s="33">
        <f t="shared" si="6"/>
        <v>2</v>
      </c>
      <c r="Q18" s="33">
        <f>RANK(O18,$O$14:$O$21,0)</f>
        <v>2</v>
      </c>
      <c r="R18" s="34">
        <f t="shared" si="9"/>
        <v>13.834625427057853</v>
      </c>
      <c r="S18" s="34" t="e">
        <f t="shared" si="11"/>
        <v>#DIV/0!</v>
      </c>
      <c r="T18" s="23"/>
      <c r="U18" s="34">
        <f t="shared" si="12"/>
        <v>2443.1</v>
      </c>
      <c r="V18" s="24"/>
      <c r="W18" s="35">
        <v>1419</v>
      </c>
      <c r="X18" s="90">
        <f t="shared" si="10"/>
        <v>1024.0999999999999</v>
      </c>
      <c r="Y18" s="24">
        <v>507</v>
      </c>
      <c r="Z18" s="100">
        <v>0</v>
      </c>
      <c r="AA18" s="89">
        <f t="shared" si="13"/>
        <v>2443.1</v>
      </c>
      <c r="AB18" s="26"/>
      <c r="AC18" s="91"/>
      <c r="AD18" s="26"/>
      <c r="AE18" s="91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</row>
    <row r="19" spans="1:240" ht="20.100000000000001" customHeight="1">
      <c r="A19" s="104" t="s">
        <v>78</v>
      </c>
      <c r="B19" s="105">
        <v>0.53500000000000003</v>
      </c>
      <c r="C19" s="106">
        <v>263</v>
      </c>
      <c r="D19" s="108">
        <f>доход!F11</f>
        <v>320.2</v>
      </c>
      <c r="E19" s="108">
        <f t="shared" si="7"/>
        <v>583.20000000000005</v>
      </c>
      <c r="F19" s="109">
        <f t="shared" si="0"/>
        <v>1090.0934579439252</v>
      </c>
      <c r="G19" s="107">
        <f>доход!L11</f>
        <v>0.43835389137679504</v>
      </c>
      <c r="H19" s="32">
        <v>0</v>
      </c>
      <c r="I19" s="32">
        <f t="shared" si="1"/>
        <v>0</v>
      </c>
      <c r="J19" s="107">
        <f>расходы!X14</f>
        <v>3.4223264649750336</v>
      </c>
      <c r="K19" s="5">
        <f t="shared" si="8"/>
        <v>0.12808652121970862</v>
      </c>
      <c r="L19" s="32">
        <f t="shared" si="2"/>
        <v>4790</v>
      </c>
      <c r="M19" s="113">
        <f t="shared" si="3"/>
        <v>1220.7</v>
      </c>
      <c r="N19" s="32">
        <f t="shared" si="4"/>
        <v>810.34672069416808</v>
      </c>
      <c r="O19" s="5">
        <f t="shared" si="5"/>
        <v>0.41369109085210176</v>
      </c>
      <c r="P19" s="33">
        <f t="shared" si="6"/>
        <v>3</v>
      </c>
      <c r="Q19" s="33">
        <f t="shared" ref="Q19" si="14">RANK(O19,$O$14:$O$21,0)</f>
        <v>3</v>
      </c>
      <c r="R19" s="34">
        <f t="shared" si="9"/>
        <v>12.808652121970862</v>
      </c>
      <c r="S19" s="34" t="e">
        <f t="shared" si="11"/>
        <v>#DIV/0!</v>
      </c>
      <c r="T19" s="23"/>
      <c r="U19" s="34">
        <f t="shared" si="12"/>
        <v>1220.7</v>
      </c>
      <c r="V19" s="24"/>
      <c r="W19" s="35">
        <f>1180+111.2</f>
        <v>1291.2</v>
      </c>
      <c r="X19" s="90">
        <f t="shared" si="10"/>
        <v>-70.5</v>
      </c>
      <c r="Y19" s="24">
        <v>980</v>
      </c>
      <c r="Z19" s="100">
        <v>0</v>
      </c>
      <c r="AA19" s="89">
        <f t="shared" si="13"/>
        <v>1220.7</v>
      </c>
      <c r="AB19" s="26"/>
      <c r="AC19" s="91"/>
      <c r="AD19" s="26"/>
      <c r="AE19" s="91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</row>
    <row r="20" spans="1:240" ht="20.100000000000001" customHeight="1">
      <c r="A20" s="104" t="s">
        <v>79</v>
      </c>
      <c r="B20" s="105">
        <v>0.66400000000000003</v>
      </c>
      <c r="C20" s="106">
        <v>220</v>
      </c>
      <c r="D20" s="108">
        <f>доход!F12</f>
        <v>17.5</v>
      </c>
      <c r="E20" s="108">
        <f t="shared" si="7"/>
        <v>237.5</v>
      </c>
      <c r="F20" s="109">
        <f t="shared" si="0"/>
        <v>357.68072289156623</v>
      </c>
      <c r="G20" s="107">
        <f>доход!L12</f>
        <v>0.14383238024904146</v>
      </c>
      <c r="H20" s="32">
        <v>0</v>
      </c>
      <c r="I20" s="32">
        <f t="shared" si="1"/>
        <v>0</v>
      </c>
      <c r="J20" s="107">
        <f>расходы!X15</f>
        <v>3.0089967990149593</v>
      </c>
      <c r="K20" s="5">
        <f t="shared" si="8"/>
        <v>4.7800775426589746E-2</v>
      </c>
      <c r="L20" s="32">
        <f t="shared" si="2"/>
        <v>5601</v>
      </c>
      <c r="M20" s="113">
        <f t="shared" si="3"/>
        <v>1427.3</v>
      </c>
      <c r="N20" s="32">
        <f t="shared" si="4"/>
        <v>824.48525528111395</v>
      </c>
      <c r="O20" s="5">
        <f t="shared" si="5"/>
        <v>0.35382576066061605</v>
      </c>
      <c r="P20" s="33">
        <f t="shared" si="6"/>
        <v>8</v>
      </c>
      <c r="Q20" s="33">
        <f>RANK(O20,$O$14:$O$21,0)</f>
        <v>8</v>
      </c>
      <c r="R20" s="34">
        <f t="shared" si="9"/>
        <v>4.780077542658975</v>
      </c>
      <c r="S20" s="34" t="e">
        <f t="shared" si="11"/>
        <v>#DIV/0!</v>
      </c>
      <c r="T20" s="23"/>
      <c r="U20" s="34">
        <f t="shared" si="12"/>
        <v>1427.3</v>
      </c>
      <c r="V20" s="24"/>
      <c r="W20" s="35">
        <v>2775</v>
      </c>
      <c r="X20" s="90">
        <f t="shared" si="10"/>
        <v>-1347.7</v>
      </c>
      <c r="Y20" s="24">
        <v>282</v>
      </c>
      <c r="Z20" s="100">
        <v>0</v>
      </c>
      <c r="AA20" s="89">
        <f t="shared" si="13"/>
        <v>1427.3</v>
      </c>
      <c r="AB20" s="26"/>
      <c r="AC20" s="91"/>
      <c r="AD20" s="26"/>
      <c r="AE20" s="91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</row>
    <row r="21" spans="1:240" ht="20.100000000000001" customHeight="1">
      <c r="A21" s="104" t="s">
        <v>80</v>
      </c>
      <c r="B21" s="105">
        <v>0.70899999999999996</v>
      </c>
      <c r="C21" s="106">
        <v>401</v>
      </c>
      <c r="D21" s="108">
        <f>доход!F13</f>
        <v>95.860000000000014</v>
      </c>
      <c r="E21" s="108">
        <f t="shared" si="7"/>
        <v>496.86</v>
      </c>
      <c r="F21" s="109">
        <f t="shared" si="0"/>
        <v>700.78984485190415</v>
      </c>
      <c r="G21" s="107">
        <f>доход!L13</f>
        <v>0.28180515467690725</v>
      </c>
      <c r="H21" s="32">
        <v>0</v>
      </c>
      <c r="I21" s="32">
        <f t="shared" si="1"/>
        <v>0</v>
      </c>
      <c r="J21" s="107">
        <f>расходы!X16</f>
        <v>3.1565254287249678</v>
      </c>
      <c r="K21" s="5">
        <f t="shared" si="8"/>
        <v>8.9277010763933032E-2</v>
      </c>
      <c r="L21" s="32">
        <f t="shared" si="2"/>
        <v>6057</v>
      </c>
      <c r="M21" s="113">
        <f t="shared" si="3"/>
        <v>1543.5</v>
      </c>
      <c r="N21" s="32">
        <f t="shared" si="4"/>
        <v>868.86523376471916</v>
      </c>
      <c r="O21" s="5">
        <f t="shared" si="5"/>
        <v>0.38472601546334806</v>
      </c>
      <c r="P21" s="33">
        <f t="shared" si="6"/>
        <v>5</v>
      </c>
      <c r="Q21" s="33">
        <f>RANK(O21,$O$14:$O$21,0)</f>
        <v>5</v>
      </c>
      <c r="R21" s="34">
        <f t="shared" si="9"/>
        <v>8.9277010763933031</v>
      </c>
      <c r="S21" s="34" t="e">
        <f t="shared" si="11"/>
        <v>#DIV/0!</v>
      </c>
      <c r="T21" s="23"/>
      <c r="U21" s="34">
        <f t="shared" si="12"/>
        <v>1543.5</v>
      </c>
      <c r="V21" s="24"/>
      <c r="W21" s="35">
        <v>2802</v>
      </c>
      <c r="X21" s="90">
        <f t="shared" si="10"/>
        <v>-1258.5</v>
      </c>
      <c r="Y21" s="24">
        <v>918</v>
      </c>
      <c r="Z21" s="100">
        <v>0</v>
      </c>
      <c r="AA21" s="89">
        <f t="shared" si="13"/>
        <v>1543.5</v>
      </c>
      <c r="AB21" s="26"/>
      <c r="AC21" s="91"/>
      <c r="AD21" s="26"/>
      <c r="AE21" s="91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</row>
    <row r="22" spans="1:240" s="43" customFormat="1" ht="20.100000000000001" customHeight="1" thickBot="1">
      <c r="A22" s="36" t="s">
        <v>25</v>
      </c>
      <c r="B22" s="115">
        <f>SUM(B14:B21)</f>
        <v>13.906999999999998</v>
      </c>
      <c r="C22" s="116">
        <f>SUM(C14:C21)</f>
        <v>32464</v>
      </c>
      <c r="D22" s="97">
        <f>SUM(D14:D21)</f>
        <v>2119.7690000000016</v>
      </c>
      <c r="E22" s="97">
        <f>SUM(E14:E21)</f>
        <v>34583.769</v>
      </c>
      <c r="F22" s="37">
        <f t="shared" si="0"/>
        <v>2486.7885956712448</v>
      </c>
      <c r="G22" s="98">
        <f>SUM(G14:G21)</f>
        <v>3.6244955805287016</v>
      </c>
      <c r="H22" s="37">
        <f>SUM(H14:H21)</f>
        <v>0</v>
      </c>
      <c r="I22" s="37">
        <f t="shared" si="1"/>
        <v>0</v>
      </c>
      <c r="J22" s="107">
        <f>расходы!X17</f>
        <v>3.0823903577486198</v>
      </c>
      <c r="K22" s="38">
        <f>SUM(K14:K21)</f>
        <v>2.4441585916704534</v>
      </c>
      <c r="L22" s="37">
        <f>SUM(L14:L21)</f>
        <v>54937</v>
      </c>
      <c r="M22" s="113">
        <f>SUM(M14:M21)</f>
        <v>13999.9</v>
      </c>
      <c r="N22" s="32">
        <f t="shared" si="4"/>
        <v>1083.9133564387055</v>
      </c>
      <c r="O22" s="38">
        <f>SUM(O14:O21)</f>
        <v>4.5131962039786089</v>
      </c>
      <c r="P22" s="38" t="s">
        <v>46</v>
      </c>
      <c r="Q22" s="38" t="s">
        <v>46</v>
      </c>
      <c r="R22" s="38" t="s">
        <v>46</v>
      </c>
      <c r="S22" s="38" t="s">
        <v>46</v>
      </c>
      <c r="T22" s="39">
        <f>SUM(T14:T21)</f>
        <v>0</v>
      </c>
      <c r="U22" s="39">
        <f>SUM(U14:U21)</f>
        <v>13999.9</v>
      </c>
      <c r="V22" s="40"/>
      <c r="W22" s="39">
        <v>14933</v>
      </c>
      <c r="X22" s="92">
        <f>SUM(X14:X21)</f>
        <v>-628.30000000000041</v>
      </c>
      <c r="Y22" s="92">
        <f>SUM(Y14:Y21)</f>
        <v>4010</v>
      </c>
      <c r="Z22" s="100">
        <f>SUM(Z14:Z21)</f>
        <v>0</v>
      </c>
      <c r="AA22" s="93">
        <f>SUM(AA14:AA21)</f>
        <v>13999.9</v>
      </c>
    </row>
    <row r="23" spans="1:240" s="43" customFormat="1" ht="20.100000000000001" customHeight="1">
      <c r="A23" s="40" t="s">
        <v>61</v>
      </c>
      <c r="B23" s="96">
        <f>B22-B14</f>
        <v>5.9689999999999985</v>
      </c>
      <c r="C23" s="41"/>
      <c r="D23" s="41"/>
      <c r="E23" s="41"/>
      <c r="F23" s="41"/>
      <c r="G23" s="77"/>
      <c r="J23" s="77"/>
      <c r="K23" s="78"/>
      <c r="L23" s="79"/>
      <c r="M23" s="80"/>
      <c r="N23" s="81"/>
      <c r="O23" s="81"/>
      <c r="P23" s="81"/>
      <c r="R23" s="81"/>
    </row>
    <row r="24" spans="1:240" s="43" customFormat="1" ht="6.75" customHeight="1">
      <c r="A24" s="48"/>
      <c r="B24" s="49"/>
      <c r="C24" s="41"/>
      <c r="D24" s="41"/>
      <c r="E24" s="41"/>
      <c r="F24" s="41"/>
      <c r="G24" s="42"/>
      <c r="J24" s="42"/>
      <c r="K24" s="44"/>
      <c r="L24" s="45"/>
      <c r="M24" s="46"/>
      <c r="N24" s="47"/>
      <c r="O24" s="47"/>
      <c r="P24" s="47"/>
      <c r="R24" s="47"/>
    </row>
    <row r="25" spans="1:240" s="68" customFormat="1" ht="24">
      <c r="A25" s="65" t="s">
        <v>59</v>
      </c>
      <c r="B25" s="66"/>
      <c r="C25" s="44">
        <f>AVERAGE(K14:K21)</f>
        <v>0.30551982395880667</v>
      </c>
      <c r="D25" s="44"/>
      <c r="E25" s="44"/>
      <c r="F25" s="66"/>
      <c r="G25" s="67"/>
      <c r="H25" s="68" t="s">
        <v>53</v>
      </c>
      <c r="J25" s="67"/>
      <c r="K25" s="44"/>
      <c r="L25" s="69"/>
      <c r="M25" s="44"/>
      <c r="N25" s="218"/>
      <c r="O25" s="218"/>
      <c r="P25" s="47"/>
      <c r="R25" s="47"/>
    </row>
    <row r="26" spans="1:240" s="68" customFormat="1" ht="24">
      <c r="A26" s="65" t="s">
        <v>60</v>
      </c>
      <c r="B26" s="66"/>
      <c r="C26" s="44">
        <f>AVERAGE(O14:O21)</f>
        <v>0.56414952549732611</v>
      </c>
      <c r="D26" s="44"/>
      <c r="E26" s="44"/>
      <c r="F26" s="66"/>
      <c r="G26" s="42"/>
      <c r="J26" s="67"/>
      <c r="K26" s="44"/>
      <c r="L26" s="69"/>
      <c r="M26" s="114">
        <f>B4/(E22/B22*B23)+C25</f>
        <v>1.2486846363985802</v>
      </c>
      <c r="N26" s="44"/>
      <c r="O26" s="46"/>
      <c r="P26" s="47"/>
      <c r="R26" s="47"/>
    </row>
    <row r="27" spans="1:240" s="68" customFormat="1" ht="15.95" customHeight="1">
      <c r="A27" s="70" t="s">
        <v>54</v>
      </c>
      <c r="B27" s="71"/>
      <c r="C27" s="72">
        <f>B4</f>
        <v>14000</v>
      </c>
      <c r="D27" s="72"/>
      <c r="E27" s="72"/>
      <c r="F27" s="66"/>
      <c r="G27" s="42"/>
      <c r="J27" s="42"/>
      <c r="K27" s="44"/>
      <c r="L27" s="69"/>
      <c r="M27" s="73"/>
      <c r="N27" s="47"/>
      <c r="O27" s="47"/>
      <c r="P27" s="47"/>
      <c r="R27" s="47"/>
    </row>
    <row r="28" spans="1:240" s="68" customFormat="1" ht="15.95" customHeight="1">
      <c r="A28" s="74" t="s">
        <v>55</v>
      </c>
      <c r="B28" s="66"/>
      <c r="C28" s="72"/>
      <c r="D28" s="72"/>
      <c r="E28" s="72"/>
      <c r="F28" s="66"/>
      <c r="G28" s="42"/>
      <c r="J28" s="42"/>
      <c r="K28" s="46"/>
      <c r="L28" s="69"/>
      <c r="M28" s="44"/>
      <c r="N28" s="47"/>
      <c r="O28" s="47"/>
      <c r="P28" s="47"/>
      <c r="R28" s="47"/>
    </row>
    <row r="29" spans="1:240" s="68" customFormat="1" ht="15.95" customHeight="1">
      <c r="A29" s="75" t="s">
        <v>58</v>
      </c>
      <c r="B29" s="66"/>
      <c r="C29" s="76">
        <f>B6</f>
        <v>0</v>
      </c>
      <c r="D29" s="76"/>
      <c r="E29" s="76"/>
      <c r="F29" s="66"/>
      <c r="G29" s="42"/>
      <c r="J29" s="42"/>
      <c r="K29" s="44"/>
      <c r="L29" s="69"/>
      <c r="M29" s="44"/>
      <c r="N29" s="47"/>
      <c r="O29" s="47"/>
      <c r="P29" s="47"/>
      <c r="R29" s="47"/>
    </row>
    <row r="30" spans="1:240" s="63" customFormat="1" ht="12">
      <c r="A30" s="64"/>
      <c r="C30" s="58"/>
      <c r="D30" s="58"/>
      <c r="E30" s="58"/>
      <c r="F30" s="58"/>
      <c r="G30" s="51"/>
      <c r="J30" s="51"/>
      <c r="K30" s="52"/>
      <c r="L30" s="53"/>
      <c r="M30" s="54"/>
      <c r="N30" s="55"/>
      <c r="O30" s="55"/>
      <c r="P30" s="55"/>
      <c r="R30" s="55"/>
    </row>
    <row r="31" spans="1:240" s="63" customFormat="1" ht="12">
      <c r="A31" s="64"/>
      <c r="G31" s="51"/>
      <c r="J31" s="51"/>
      <c r="K31" s="52"/>
      <c r="L31" s="53"/>
      <c r="M31" s="54"/>
      <c r="N31" s="55"/>
      <c r="O31" s="55"/>
      <c r="P31" s="55"/>
      <c r="R31" s="55"/>
    </row>
    <row r="32" spans="1:240" ht="12.75">
      <c r="A32" s="50"/>
      <c r="G32" s="51"/>
      <c r="J32" s="51"/>
      <c r="K32" s="52"/>
      <c r="L32" s="53"/>
      <c r="M32" s="54"/>
      <c r="N32" s="55"/>
      <c r="O32" s="55"/>
      <c r="P32" s="55"/>
      <c r="R32" s="55"/>
    </row>
    <row r="33" spans="1:18" ht="12.75">
      <c r="A33" s="94"/>
      <c r="B33" s="56"/>
      <c r="G33" s="51"/>
      <c r="J33" s="51"/>
      <c r="K33" s="52"/>
      <c r="L33" s="53"/>
      <c r="M33" s="54"/>
      <c r="N33" s="55"/>
      <c r="O33" s="55"/>
      <c r="P33" s="55"/>
      <c r="R33" s="55"/>
    </row>
    <row r="34" spans="1:18" ht="12.75">
      <c r="A34" s="50"/>
      <c r="B34" s="57"/>
      <c r="C34" s="58"/>
      <c r="D34" s="58"/>
      <c r="E34" s="58"/>
      <c r="F34" s="58"/>
      <c r="G34" s="51"/>
      <c r="H34" s="58"/>
      <c r="I34" s="58"/>
      <c r="J34" s="51"/>
      <c r="K34" s="52"/>
      <c r="L34" s="53"/>
      <c r="M34" s="54"/>
      <c r="N34" s="55"/>
      <c r="O34" s="55"/>
      <c r="P34" s="55"/>
      <c r="R34" s="55"/>
    </row>
    <row r="35" spans="1:18" ht="12.75">
      <c r="A35" s="50"/>
      <c r="B35" s="57"/>
      <c r="C35" s="58"/>
      <c r="D35" s="58"/>
      <c r="E35" s="58"/>
      <c r="F35" s="58"/>
      <c r="G35" s="51"/>
      <c r="H35" s="58"/>
      <c r="I35" s="58"/>
      <c r="J35" s="51"/>
      <c r="K35" s="52"/>
      <c r="L35" s="53"/>
      <c r="M35" s="54"/>
      <c r="N35" s="55"/>
      <c r="O35" s="55"/>
      <c r="P35" s="55"/>
      <c r="R35" s="55"/>
    </row>
    <row r="36" spans="1:18" ht="12.75">
      <c r="A36" s="50"/>
      <c r="B36" s="58"/>
      <c r="C36" s="58"/>
      <c r="D36" s="58"/>
      <c r="E36" s="58"/>
      <c r="F36" s="58"/>
      <c r="G36" s="51"/>
      <c r="H36" s="58"/>
      <c r="I36" s="58"/>
      <c r="J36" s="51"/>
      <c r="K36" s="52"/>
      <c r="L36" s="53"/>
      <c r="M36" s="54"/>
      <c r="N36" s="55"/>
      <c r="O36" s="55"/>
      <c r="P36" s="55"/>
      <c r="R36" s="55"/>
    </row>
    <row r="37" spans="1:18" ht="12.75">
      <c r="A37" s="50"/>
      <c r="B37" s="58"/>
      <c r="C37" s="58"/>
      <c r="D37" s="58"/>
      <c r="E37" s="58"/>
      <c r="F37" s="58"/>
      <c r="G37" s="51"/>
      <c r="H37" s="58"/>
      <c r="I37" s="58"/>
      <c r="J37" s="51"/>
      <c r="K37" s="52"/>
      <c r="L37" s="53"/>
      <c r="M37" s="54"/>
      <c r="N37" s="55"/>
      <c r="O37" s="55"/>
      <c r="P37" s="55"/>
      <c r="R37" s="55"/>
    </row>
    <row r="38" spans="1:18">
      <c r="A38" s="6"/>
      <c r="B38" s="58"/>
      <c r="C38" s="58"/>
      <c r="D38" s="58"/>
      <c r="E38" s="58"/>
      <c r="F38" s="58"/>
      <c r="G38" s="51"/>
      <c r="H38" s="58"/>
      <c r="I38" s="58"/>
      <c r="J38" s="51"/>
      <c r="K38" s="52"/>
      <c r="L38" s="53"/>
      <c r="M38" s="54"/>
      <c r="N38" s="55"/>
      <c r="O38" s="55"/>
      <c r="P38" s="55"/>
      <c r="R38" s="55"/>
    </row>
    <row r="39" spans="1:18" ht="12.75">
      <c r="B39" s="56"/>
      <c r="C39" s="58"/>
      <c r="D39" s="58"/>
      <c r="E39" s="58"/>
      <c r="F39" s="58"/>
      <c r="G39" s="51"/>
      <c r="H39" s="58"/>
      <c r="I39" s="58"/>
      <c r="J39" s="51"/>
      <c r="K39" s="52"/>
      <c r="L39" s="53"/>
      <c r="M39" s="54"/>
      <c r="N39" s="55"/>
      <c r="O39" s="55"/>
      <c r="P39" s="55"/>
      <c r="R39" s="55"/>
    </row>
    <row r="40" spans="1:18" ht="12.75">
      <c r="B40" s="58"/>
      <c r="C40" s="58"/>
      <c r="D40" s="58"/>
      <c r="E40" s="58"/>
      <c r="F40" s="58"/>
      <c r="G40" s="51"/>
      <c r="H40" s="58"/>
      <c r="I40" s="58"/>
      <c r="J40" s="51"/>
      <c r="K40" s="52"/>
      <c r="L40" s="53"/>
      <c r="M40" s="54"/>
      <c r="N40" s="55"/>
      <c r="O40" s="55"/>
      <c r="P40" s="55"/>
      <c r="R40" s="55"/>
    </row>
    <row r="41" spans="1:18" ht="12.75">
      <c r="B41" s="58"/>
      <c r="C41" s="58"/>
      <c r="D41" s="58"/>
      <c r="E41" s="58"/>
      <c r="F41" s="58"/>
      <c r="G41" s="51"/>
      <c r="H41" s="58"/>
      <c r="I41" s="58"/>
      <c r="J41" s="51"/>
      <c r="K41" s="52"/>
      <c r="L41" s="53"/>
      <c r="M41" s="54"/>
      <c r="N41" s="55"/>
      <c r="O41" s="55"/>
      <c r="P41" s="55"/>
      <c r="R41" s="55"/>
    </row>
    <row r="42" spans="1:18" ht="12.75">
      <c r="B42" s="58"/>
      <c r="C42" s="58"/>
      <c r="D42" s="58"/>
      <c r="E42" s="58"/>
      <c r="F42" s="58"/>
      <c r="G42" s="51"/>
      <c r="H42" s="58"/>
      <c r="I42" s="58"/>
      <c r="J42" s="51"/>
      <c r="K42" s="52"/>
      <c r="L42" s="53"/>
      <c r="M42" s="54"/>
      <c r="N42" s="55"/>
      <c r="O42" s="55"/>
      <c r="P42" s="55"/>
      <c r="R42" s="55"/>
    </row>
    <row r="43" spans="1:18" ht="12.75">
      <c r="B43" s="58"/>
      <c r="C43" s="58"/>
      <c r="D43" s="58"/>
      <c r="E43" s="58"/>
      <c r="F43" s="58"/>
      <c r="G43" s="51"/>
      <c r="H43" s="58"/>
      <c r="I43" s="58"/>
      <c r="J43" s="51"/>
      <c r="K43" s="52"/>
      <c r="L43" s="53"/>
      <c r="M43" s="54"/>
      <c r="N43" s="55"/>
      <c r="O43" s="55"/>
      <c r="P43" s="55"/>
      <c r="R43" s="55"/>
    </row>
    <row r="44" spans="1:18" ht="12.75">
      <c r="B44" s="58"/>
      <c r="C44" s="58"/>
      <c r="D44" s="58"/>
      <c r="E44" s="58"/>
      <c r="F44" s="58"/>
      <c r="G44" s="51"/>
      <c r="H44" s="58"/>
      <c r="I44" s="58"/>
      <c r="J44" s="51"/>
      <c r="K44" s="52"/>
      <c r="L44" s="53"/>
      <c r="M44" s="54"/>
      <c r="N44" s="55"/>
      <c r="O44" s="55"/>
      <c r="P44" s="55"/>
      <c r="R44" s="55"/>
    </row>
    <row r="45" spans="1:18" ht="12.75">
      <c r="B45" s="58"/>
      <c r="C45" s="58"/>
      <c r="D45" s="58"/>
      <c r="E45" s="58"/>
      <c r="F45" s="58"/>
      <c r="G45" s="51"/>
      <c r="H45" s="58"/>
      <c r="I45" s="58"/>
      <c r="J45" s="51"/>
      <c r="K45" s="52"/>
      <c r="L45" s="53"/>
      <c r="M45" s="54"/>
      <c r="N45" s="55"/>
      <c r="O45" s="55"/>
      <c r="P45" s="55"/>
      <c r="R45" s="55"/>
    </row>
    <row r="46" spans="1:18" ht="12.75">
      <c r="B46" s="58"/>
      <c r="C46" s="58"/>
      <c r="D46" s="58"/>
      <c r="E46" s="58"/>
      <c r="F46" s="58"/>
      <c r="G46" s="51"/>
      <c r="H46" s="58"/>
      <c r="I46" s="58"/>
      <c r="J46" s="51"/>
      <c r="K46" s="52"/>
      <c r="L46" s="53"/>
      <c r="M46" s="54"/>
      <c r="N46" s="55"/>
      <c r="O46" s="55"/>
      <c r="P46" s="55"/>
      <c r="R46" s="55"/>
    </row>
    <row r="47" spans="1:18" ht="12.75">
      <c r="B47" s="58"/>
      <c r="C47" s="58"/>
      <c r="D47" s="58"/>
      <c r="E47" s="58"/>
      <c r="F47" s="58"/>
      <c r="G47" s="51"/>
      <c r="H47" s="58"/>
      <c r="I47" s="58"/>
      <c r="J47" s="51"/>
      <c r="K47" s="52"/>
      <c r="L47" s="53"/>
      <c r="M47" s="54"/>
      <c r="N47" s="55"/>
      <c r="O47" s="55"/>
      <c r="P47" s="55"/>
      <c r="R47" s="55"/>
    </row>
    <row r="48" spans="1:18" ht="12.75">
      <c r="B48" s="58"/>
      <c r="C48" s="58"/>
      <c r="D48" s="58"/>
      <c r="E48" s="58"/>
      <c r="F48" s="58"/>
      <c r="G48" s="51"/>
      <c r="H48" s="58"/>
      <c r="I48" s="58"/>
      <c r="J48" s="51"/>
      <c r="K48" s="52"/>
      <c r="L48" s="53"/>
      <c r="M48" s="54"/>
      <c r="N48" s="55"/>
      <c r="O48" s="55"/>
      <c r="P48" s="55"/>
      <c r="R48" s="55"/>
    </row>
    <row r="49" spans="2:18" ht="12.75">
      <c r="B49" s="58"/>
      <c r="C49" s="58"/>
      <c r="D49" s="58"/>
      <c r="E49" s="58"/>
      <c r="F49" s="58"/>
      <c r="G49" s="51"/>
      <c r="H49" s="58"/>
      <c r="I49" s="58"/>
      <c r="J49" s="51"/>
      <c r="K49" s="52"/>
      <c r="L49" s="53"/>
      <c r="M49" s="54"/>
      <c r="N49" s="55"/>
      <c r="O49" s="55"/>
      <c r="P49" s="55"/>
      <c r="R49" s="55"/>
    </row>
    <row r="50" spans="2:18" ht="12.75">
      <c r="B50" s="58"/>
      <c r="C50" s="58"/>
      <c r="D50" s="58"/>
      <c r="E50" s="58"/>
      <c r="F50" s="58"/>
      <c r="G50" s="51"/>
      <c r="H50" s="58"/>
      <c r="I50" s="58"/>
      <c r="J50" s="51"/>
      <c r="K50" s="52"/>
      <c r="L50" s="53"/>
      <c r="M50" s="54"/>
      <c r="N50" s="55"/>
      <c r="O50" s="55"/>
      <c r="P50" s="55"/>
      <c r="R50" s="55"/>
    </row>
    <row r="51" spans="2:18" ht="12.75">
      <c r="B51" s="58"/>
      <c r="C51" s="58"/>
      <c r="D51" s="58"/>
      <c r="E51" s="58"/>
      <c r="F51" s="58"/>
      <c r="G51" s="51"/>
      <c r="H51" s="58"/>
      <c r="I51" s="58"/>
      <c r="J51" s="51"/>
      <c r="K51" s="52"/>
      <c r="L51" s="53"/>
      <c r="M51" s="54"/>
      <c r="N51" s="55"/>
      <c r="O51" s="55"/>
      <c r="P51" s="55"/>
      <c r="R51" s="55"/>
    </row>
    <row r="52" spans="2:18" ht="12.75">
      <c r="B52" s="58"/>
      <c r="C52" s="58"/>
      <c r="D52" s="58"/>
      <c r="E52" s="58"/>
      <c r="F52" s="58"/>
      <c r="G52" s="51"/>
      <c r="H52" s="58"/>
      <c r="I52" s="58"/>
      <c r="J52" s="51"/>
      <c r="K52" s="52"/>
      <c r="L52" s="53"/>
      <c r="M52" s="54"/>
      <c r="N52" s="55"/>
      <c r="O52" s="55"/>
      <c r="P52" s="55"/>
      <c r="R52" s="55"/>
    </row>
    <row r="53" spans="2:18" ht="12.75">
      <c r="B53" s="58"/>
      <c r="C53" s="58"/>
      <c r="D53" s="58"/>
      <c r="E53" s="58"/>
      <c r="F53" s="58"/>
      <c r="G53" s="51"/>
      <c r="H53" s="58"/>
      <c r="I53" s="58"/>
      <c r="J53" s="51"/>
      <c r="K53" s="52"/>
      <c r="L53" s="53"/>
      <c r="M53" s="54"/>
      <c r="N53" s="55"/>
      <c r="O53" s="55"/>
      <c r="P53" s="55"/>
      <c r="R53" s="55"/>
    </row>
    <row r="54" spans="2:18" ht="12.75">
      <c r="B54" s="58"/>
      <c r="C54" s="58"/>
      <c r="D54" s="58"/>
      <c r="E54" s="58"/>
      <c r="F54" s="58"/>
      <c r="G54" s="51"/>
      <c r="H54" s="58"/>
      <c r="I54" s="58"/>
      <c r="J54" s="51"/>
      <c r="K54" s="52"/>
      <c r="L54" s="53"/>
      <c r="M54" s="54"/>
      <c r="N54" s="55"/>
      <c r="O54" s="55"/>
      <c r="P54" s="55"/>
      <c r="R54" s="55"/>
    </row>
    <row r="55" spans="2:18" ht="12.75">
      <c r="B55" s="58"/>
      <c r="C55" s="58"/>
      <c r="D55" s="58"/>
      <c r="E55" s="58"/>
      <c r="F55" s="58"/>
      <c r="G55" s="51"/>
      <c r="H55" s="58"/>
      <c r="I55" s="58"/>
      <c r="J55" s="51"/>
      <c r="K55" s="52"/>
      <c r="L55" s="53"/>
      <c r="M55" s="54"/>
      <c r="N55" s="55"/>
      <c r="O55" s="55"/>
      <c r="P55" s="55"/>
      <c r="R55" s="55"/>
    </row>
    <row r="56" spans="2:18" ht="12.75">
      <c r="B56" s="58"/>
      <c r="C56" s="58"/>
      <c r="D56" s="58"/>
      <c r="E56" s="58"/>
      <c r="F56" s="58"/>
      <c r="G56" s="51"/>
      <c r="H56" s="58"/>
      <c r="I56" s="58"/>
      <c r="J56" s="51"/>
      <c r="K56" s="52"/>
      <c r="L56" s="53"/>
      <c r="M56" s="54"/>
      <c r="N56" s="55"/>
      <c r="O56" s="55"/>
      <c r="P56" s="55"/>
      <c r="R56" s="55"/>
    </row>
    <row r="57" spans="2:18" ht="12.75">
      <c r="B57" s="58"/>
      <c r="C57" s="58"/>
      <c r="D57" s="58"/>
      <c r="E57" s="58"/>
      <c r="F57" s="58"/>
      <c r="G57" s="51"/>
      <c r="H57" s="58"/>
      <c r="I57" s="58"/>
      <c r="J57" s="51"/>
      <c r="K57" s="52"/>
      <c r="L57" s="53"/>
      <c r="M57" s="54"/>
      <c r="N57" s="55"/>
      <c r="O57" s="55"/>
      <c r="P57" s="55"/>
      <c r="R57" s="55"/>
    </row>
    <row r="58" spans="2:18" ht="12.75">
      <c r="B58" s="58"/>
      <c r="C58" s="58"/>
      <c r="D58" s="58"/>
      <c r="E58" s="58"/>
      <c r="F58" s="58"/>
      <c r="G58" s="51"/>
      <c r="H58" s="58"/>
      <c r="I58" s="58"/>
      <c r="J58" s="51"/>
      <c r="K58" s="52"/>
      <c r="L58" s="53"/>
      <c r="M58" s="54"/>
      <c r="N58" s="55"/>
      <c r="O58" s="55"/>
      <c r="P58" s="55"/>
      <c r="R58" s="55"/>
    </row>
    <row r="59" spans="2:18" ht="12.75">
      <c r="B59" s="58"/>
      <c r="C59" s="58"/>
      <c r="D59" s="58"/>
      <c r="E59" s="58"/>
      <c r="F59" s="58"/>
      <c r="G59" s="51"/>
      <c r="H59" s="58"/>
      <c r="I59" s="58"/>
      <c r="J59" s="51"/>
      <c r="K59" s="52"/>
      <c r="L59" s="53"/>
      <c r="M59" s="54"/>
      <c r="N59" s="55"/>
      <c r="O59" s="55"/>
      <c r="P59" s="55"/>
      <c r="R59" s="55"/>
    </row>
    <row r="60" spans="2:18" ht="12.75">
      <c r="B60" s="58"/>
      <c r="C60" s="58"/>
      <c r="D60" s="58"/>
      <c r="E60" s="58"/>
      <c r="F60" s="58"/>
      <c r="G60" s="51"/>
      <c r="H60" s="58"/>
      <c r="I60" s="58"/>
      <c r="J60" s="51"/>
      <c r="K60" s="52"/>
      <c r="L60" s="53"/>
      <c r="M60" s="54"/>
      <c r="N60" s="55"/>
      <c r="O60" s="55"/>
      <c r="P60" s="55"/>
      <c r="R60" s="55"/>
    </row>
    <row r="61" spans="2:18" ht="12.75">
      <c r="B61" s="58"/>
      <c r="C61" s="58"/>
      <c r="D61" s="58"/>
      <c r="E61" s="58"/>
      <c r="F61" s="58"/>
      <c r="G61" s="51"/>
      <c r="H61" s="58"/>
      <c r="I61" s="58"/>
      <c r="J61" s="51"/>
      <c r="K61" s="52"/>
      <c r="L61" s="53"/>
      <c r="M61" s="54"/>
      <c r="N61" s="55"/>
      <c r="O61" s="55"/>
      <c r="P61" s="55"/>
      <c r="R61" s="55"/>
    </row>
    <row r="62" spans="2:18" ht="12.75">
      <c r="B62" s="58"/>
      <c r="C62" s="58"/>
      <c r="D62" s="58"/>
      <c r="E62" s="58"/>
      <c r="F62" s="58"/>
      <c r="G62" s="51"/>
      <c r="H62" s="58"/>
      <c r="I62" s="58"/>
      <c r="J62" s="51"/>
      <c r="K62" s="52"/>
      <c r="L62" s="53"/>
      <c r="M62" s="54"/>
      <c r="N62" s="55"/>
      <c r="O62" s="55"/>
      <c r="P62" s="55"/>
      <c r="R62" s="55"/>
    </row>
    <row r="63" spans="2:18" ht="12.75">
      <c r="B63" s="58"/>
      <c r="C63" s="58"/>
      <c r="D63" s="58"/>
      <c r="E63" s="58"/>
      <c r="F63" s="58"/>
      <c r="G63" s="51"/>
      <c r="H63" s="58"/>
      <c r="I63" s="58"/>
      <c r="J63" s="51"/>
      <c r="K63" s="52"/>
      <c r="L63" s="53"/>
      <c r="M63" s="54"/>
      <c r="N63" s="55"/>
      <c r="O63" s="55"/>
      <c r="P63" s="55"/>
      <c r="R63" s="55"/>
    </row>
    <row r="64" spans="2:18" ht="12.75">
      <c r="B64" s="58"/>
      <c r="C64" s="58"/>
      <c r="D64" s="58"/>
      <c r="E64" s="58"/>
      <c r="F64" s="58"/>
      <c r="G64" s="51"/>
      <c r="H64" s="58"/>
      <c r="I64" s="58"/>
      <c r="J64" s="51"/>
      <c r="K64" s="52"/>
      <c r="L64" s="53"/>
      <c r="M64" s="54"/>
      <c r="N64" s="55"/>
      <c r="O64" s="55"/>
      <c r="P64" s="55"/>
      <c r="R64" s="55"/>
    </row>
    <row r="65" spans="2:18" ht="12.75">
      <c r="B65" s="58"/>
      <c r="C65" s="58"/>
      <c r="D65" s="58"/>
      <c r="E65" s="58"/>
      <c r="F65" s="58"/>
      <c r="G65" s="51"/>
      <c r="H65" s="58"/>
      <c r="I65" s="58"/>
      <c r="J65" s="51"/>
      <c r="K65" s="52"/>
      <c r="L65" s="53"/>
      <c r="M65" s="54"/>
      <c r="N65" s="55"/>
      <c r="O65" s="55"/>
      <c r="P65" s="55"/>
      <c r="R65" s="55"/>
    </row>
    <row r="66" spans="2:18" ht="12.75">
      <c r="B66" s="58"/>
      <c r="C66" s="58"/>
      <c r="D66" s="58"/>
      <c r="E66" s="58"/>
      <c r="F66" s="58"/>
      <c r="G66" s="51"/>
      <c r="H66" s="58"/>
      <c r="I66" s="58"/>
      <c r="J66" s="51"/>
      <c r="K66" s="52"/>
      <c r="L66" s="53"/>
      <c r="M66" s="54"/>
      <c r="N66" s="55"/>
      <c r="O66" s="55"/>
      <c r="P66" s="55"/>
      <c r="R66" s="55"/>
    </row>
    <row r="67" spans="2:18" ht="12.75">
      <c r="B67" s="58"/>
      <c r="C67" s="58"/>
      <c r="D67" s="58"/>
      <c r="E67" s="58"/>
      <c r="F67" s="58"/>
      <c r="G67" s="51"/>
      <c r="H67" s="58"/>
      <c r="I67" s="58"/>
      <c r="J67" s="51"/>
      <c r="K67" s="52"/>
      <c r="L67" s="53"/>
      <c r="M67" s="54"/>
      <c r="N67" s="55"/>
      <c r="O67" s="55"/>
      <c r="P67" s="55"/>
      <c r="R67" s="55"/>
    </row>
    <row r="68" spans="2:18" ht="12.75">
      <c r="B68" s="58"/>
      <c r="C68" s="58"/>
      <c r="D68" s="58"/>
      <c r="E68" s="58"/>
      <c r="F68" s="58"/>
      <c r="G68" s="51"/>
      <c r="H68" s="58"/>
      <c r="I68" s="58"/>
      <c r="J68" s="51"/>
      <c r="K68" s="52"/>
      <c r="L68" s="53"/>
      <c r="M68" s="54"/>
      <c r="N68" s="55"/>
      <c r="O68" s="55"/>
      <c r="P68" s="55"/>
      <c r="R68" s="55"/>
    </row>
    <row r="69" spans="2:18" ht="12.75">
      <c r="B69" s="58"/>
      <c r="C69" s="58"/>
      <c r="D69" s="58"/>
      <c r="E69" s="58"/>
      <c r="F69" s="58"/>
      <c r="G69" s="51"/>
      <c r="H69" s="58"/>
      <c r="I69" s="58"/>
      <c r="J69" s="51"/>
      <c r="K69" s="52"/>
      <c r="L69" s="53"/>
      <c r="M69" s="54"/>
      <c r="N69" s="55"/>
      <c r="O69" s="55"/>
      <c r="P69" s="55"/>
      <c r="R69" s="55"/>
    </row>
    <row r="70" spans="2:18" ht="12.75">
      <c r="B70" s="58"/>
      <c r="C70" s="58"/>
      <c r="D70" s="58"/>
      <c r="E70" s="58"/>
      <c r="F70" s="58"/>
      <c r="G70" s="51"/>
      <c r="H70" s="58"/>
      <c r="I70" s="58"/>
      <c r="J70" s="51"/>
      <c r="K70" s="52"/>
      <c r="L70" s="53"/>
      <c r="M70" s="54"/>
      <c r="N70" s="55"/>
      <c r="O70" s="55"/>
      <c r="P70" s="55"/>
      <c r="R70" s="55"/>
    </row>
    <row r="71" spans="2:18" ht="12.75">
      <c r="B71" s="58"/>
      <c r="C71" s="58"/>
      <c r="D71" s="58"/>
      <c r="E71" s="58"/>
      <c r="F71" s="58"/>
      <c r="G71" s="51"/>
      <c r="H71" s="58"/>
      <c r="I71" s="58"/>
      <c r="J71" s="51"/>
      <c r="K71" s="52"/>
      <c r="L71" s="53"/>
      <c r="M71" s="54"/>
      <c r="N71" s="55"/>
      <c r="O71" s="55"/>
      <c r="P71" s="55"/>
      <c r="R71" s="55"/>
    </row>
    <row r="72" spans="2:18" ht="12.75">
      <c r="B72" s="58"/>
      <c r="C72" s="58"/>
      <c r="D72" s="58"/>
      <c r="E72" s="58"/>
      <c r="F72" s="58"/>
      <c r="G72" s="51"/>
      <c r="H72" s="58"/>
      <c r="I72" s="58"/>
      <c r="J72" s="51"/>
      <c r="K72" s="52"/>
      <c r="L72" s="53"/>
      <c r="M72" s="54"/>
      <c r="N72" s="55"/>
      <c r="O72" s="55"/>
      <c r="P72" s="55"/>
      <c r="R72" s="55"/>
    </row>
    <row r="73" spans="2:18" ht="12.75">
      <c r="B73" s="58"/>
      <c r="C73" s="58"/>
      <c r="D73" s="58"/>
      <c r="E73" s="58"/>
      <c r="F73" s="58"/>
      <c r="G73" s="51"/>
      <c r="H73" s="58"/>
      <c r="I73" s="58"/>
      <c r="J73" s="51"/>
      <c r="K73" s="52"/>
      <c r="L73" s="53"/>
      <c r="M73" s="54"/>
      <c r="N73" s="55"/>
      <c r="O73" s="55"/>
      <c r="P73" s="55"/>
      <c r="R73" s="55"/>
    </row>
    <row r="74" spans="2:18" ht="12.75">
      <c r="B74" s="58"/>
      <c r="C74" s="58"/>
      <c r="D74" s="58"/>
      <c r="E74" s="58"/>
      <c r="F74" s="58"/>
      <c r="G74" s="51"/>
      <c r="H74" s="58"/>
      <c r="I74" s="58"/>
      <c r="J74" s="51"/>
      <c r="K74" s="52"/>
      <c r="L74" s="53"/>
      <c r="M74" s="54"/>
      <c r="N74" s="55"/>
      <c r="O74" s="55"/>
      <c r="P74" s="55"/>
      <c r="R74" s="55"/>
    </row>
    <row r="75" spans="2:18" ht="12.75">
      <c r="B75" s="58"/>
      <c r="C75" s="58"/>
      <c r="D75" s="58"/>
      <c r="E75" s="58"/>
      <c r="F75" s="58"/>
      <c r="G75" s="51"/>
      <c r="H75" s="58"/>
      <c r="I75" s="58"/>
      <c r="J75" s="51"/>
      <c r="K75" s="52"/>
      <c r="L75" s="53"/>
      <c r="M75" s="54"/>
      <c r="N75" s="55"/>
      <c r="O75" s="55"/>
      <c r="P75" s="55"/>
      <c r="R75" s="55"/>
    </row>
    <row r="76" spans="2:18" ht="12.75">
      <c r="B76" s="58"/>
      <c r="C76" s="58"/>
      <c r="D76" s="58"/>
      <c r="E76" s="58"/>
      <c r="F76" s="58"/>
      <c r="G76" s="51"/>
      <c r="H76" s="58"/>
      <c r="I76" s="58"/>
      <c r="J76" s="51"/>
      <c r="K76" s="52"/>
      <c r="L76" s="53"/>
      <c r="M76" s="54"/>
      <c r="N76" s="55"/>
      <c r="O76" s="55"/>
      <c r="P76" s="55"/>
      <c r="R76" s="55"/>
    </row>
    <row r="77" spans="2:18" ht="12.75">
      <c r="B77" s="58"/>
      <c r="C77" s="58"/>
      <c r="D77" s="58"/>
      <c r="E77" s="58"/>
      <c r="F77" s="58"/>
      <c r="G77" s="51"/>
      <c r="H77" s="58"/>
      <c r="I77" s="58"/>
      <c r="J77" s="51"/>
      <c r="K77" s="52"/>
      <c r="L77" s="53"/>
      <c r="M77" s="54"/>
      <c r="N77" s="55"/>
      <c r="O77" s="55"/>
      <c r="P77" s="55"/>
      <c r="R77" s="55"/>
    </row>
    <row r="78" spans="2:18" ht="12.75">
      <c r="B78" s="58"/>
      <c r="C78" s="58"/>
      <c r="D78" s="58"/>
      <c r="E78" s="58"/>
      <c r="F78" s="58"/>
      <c r="G78" s="51"/>
      <c r="H78" s="58"/>
      <c r="I78" s="58"/>
      <c r="J78" s="51"/>
      <c r="K78" s="52"/>
      <c r="L78" s="53"/>
      <c r="M78" s="54"/>
      <c r="N78" s="55"/>
      <c r="O78" s="55"/>
      <c r="P78" s="55"/>
      <c r="R78" s="55"/>
    </row>
    <row r="79" spans="2:18" ht="12.75">
      <c r="B79" s="58"/>
      <c r="C79" s="58"/>
      <c r="D79" s="58"/>
      <c r="E79" s="58"/>
      <c r="F79" s="58"/>
      <c r="G79" s="51"/>
      <c r="H79" s="58"/>
      <c r="I79" s="58"/>
      <c r="J79" s="51"/>
      <c r="K79" s="52"/>
      <c r="L79" s="53"/>
      <c r="M79" s="54"/>
      <c r="N79" s="55"/>
      <c r="O79" s="55"/>
      <c r="P79" s="55"/>
      <c r="R79" s="55"/>
    </row>
    <row r="80" spans="2:18" ht="12.75">
      <c r="B80" s="58"/>
      <c r="C80" s="58"/>
      <c r="D80" s="58"/>
      <c r="E80" s="58"/>
      <c r="F80" s="58"/>
      <c r="G80" s="51"/>
      <c r="H80" s="58"/>
      <c r="I80" s="58"/>
      <c r="J80" s="51"/>
      <c r="K80" s="52"/>
      <c r="L80" s="53"/>
      <c r="M80" s="54"/>
      <c r="N80" s="55"/>
      <c r="O80" s="55"/>
      <c r="P80" s="55"/>
      <c r="R80" s="55"/>
    </row>
    <row r="81" spans="2:18" ht="12.75">
      <c r="B81" s="58"/>
      <c r="C81" s="58"/>
      <c r="D81" s="58"/>
      <c r="E81" s="58"/>
      <c r="F81" s="58"/>
      <c r="G81" s="51"/>
      <c r="H81" s="58"/>
      <c r="I81" s="58"/>
      <c r="J81" s="51"/>
      <c r="K81" s="52"/>
      <c r="L81" s="53"/>
      <c r="M81" s="54"/>
      <c r="N81" s="55"/>
      <c r="O81" s="55"/>
      <c r="P81" s="55"/>
      <c r="R81" s="55"/>
    </row>
    <row r="82" spans="2:18" ht="12.75">
      <c r="B82" s="58"/>
      <c r="C82" s="58"/>
      <c r="D82" s="58"/>
      <c r="E82" s="58"/>
      <c r="F82" s="58"/>
      <c r="G82" s="51"/>
      <c r="H82" s="58"/>
      <c r="I82" s="58"/>
      <c r="J82" s="51"/>
      <c r="K82" s="52"/>
      <c r="L82" s="53"/>
      <c r="M82" s="54"/>
      <c r="N82" s="55"/>
      <c r="O82" s="55"/>
      <c r="P82" s="55"/>
      <c r="R82" s="55"/>
    </row>
    <row r="83" spans="2:18" ht="12.75">
      <c r="B83" s="58"/>
      <c r="C83" s="58"/>
      <c r="D83" s="58"/>
      <c r="E83" s="58"/>
      <c r="F83" s="58"/>
      <c r="G83" s="51"/>
      <c r="H83" s="58"/>
      <c r="I83" s="58"/>
      <c r="J83" s="51"/>
      <c r="K83" s="52"/>
      <c r="L83" s="53"/>
      <c r="M83" s="54"/>
      <c r="N83" s="55"/>
      <c r="O83" s="55"/>
      <c r="P83" s="55"/>
      <c r="R83" s="55"/>
    </row>
    <row r="84" spans="2:18" ht="12.75">
      <c r="B84" s="58"/>
      <c r="C84" s="58"/>
      <c r="D84" s="58"/>
      <c r="E84" s="58"/>
      <c r="F84" s="58"/>
      <c r="G84" s="51"/>
      <c r="H84" s="58"/>
      <c r="I84" s="58"/>
      <c r="J84" s="51"/>
      <c r="K84" s="52"/>
      <c r="L84" s="53"/>
      <c r="M84" s="54"/>
      <c r="N84" s="55"/>
      <c r="O84" s="55"/>
      <c r="P84" s="55"/>
      <c r="R84" s="55"/>
    </row>
    <row r="85" spans="2:18" ht="12.75">
      <c r="B85" s="58"/>
      <c r="C85" s="58"/>
      <c r="D85" s="58"/>
      <c r="E85" s="58"/>
      <c r="F85" s="58"/>
      <c r="G85" s="51"/>
      <c r="H85" s="58"/>
      <c r="I85" s="58"/>
      <c r="J85" s="51"/>
      <c r="K85" s="52"/>
      <c r="L85" s="53"/>
      <c r="M85" s="54"/>
      <c r="N85" s="55"/>
      <c r="O85" s="55"/>
      <c r="P85" s="55"/>
      <c r="R85" s="55"/>
    </row>
    <row r="86" spans="2:18" ht="12.75">
      <c r="B86" s="58"/>
      <c r="C86" s="58"/>
      <c r="D86" s="58"/>
      <c r="E86" s="58"/>
      <c r="F86" s="58"/>
      <c r="G86" s="51"/>
      <c r="H86" s="58"/>
      <c r="I86" s="58"/>
      <c r="J86" s="51"/>
      <c r="K86" s="52"/>
      <c r="L86" s="53"/>
      <c r="M86" s="54"/>
      <c r="N86" s="55"/>
      <c r="O86" s="55"/>
      <c r="P86" s="55"/>
      <c r="R86" s="55"/>
    </row>
    <row r="87" spans="2:18" ht="12.75">
      <c r="B87" s="58"/>
      <c r="C87" s="58"/>
      <c r="D87" s="58"/>
      <c r="E87" s="58"/>
      <c r="F87" s="58"/>
      <c r="G87" s="51"/>
      <c r="H87" s="58"/>
      <c r="I87" s="58"/>
      <c r="J87" s="51"/>
      <c r="K87" s="52"/>
      <c r="L87" s="58"/>
      <c r="M87" s="54"/>
      <c r="N87" s="55"/>
      <c r="O87" s="55"/>
      <c r="P87" s="55"/>
      <c r="R87" s="55"/>
    </row>
    <row r="88" spans="2:18" ht="12.75">
      <c r="B88" s="58"/>
      <c r="C88" s="58"/>
      <c r="D88" s="58"/>
      <c r="E88" s="58"/>
      <c r="F88" s="58"/>
      <c r="G88" s="59"/>
      <c r="H88" s="58"/>
      <c r="I88" s="58"/>
      <c r="J88" s="59"/>
      <c r="K88" s="60"/>
      <c r="L88" s="61"/>
      <c r="M88" s="61"/>
      <c r="N88" s="61"/>
      <c r="O88" s="61"/>
      <c r="P88" s="61"/>
      <c r="R88" s="61"/>
    </row>
    <row r="89" spans="2:18" ht="12.75"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62"/>
      <c r="N89" s="62"/>
      <c r="O89" s="62"/>
      <c r="P89" s="62"/>
      <c r="R89" s="62"/>
    </row>
    <row r="90" spans="2:18" ht="12.75"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62"/>
      <c r="N90" s="62"/>
      <c r="O90" s="62"/>
      <c r="P90" s="62"/>
      <c r="R90" s="62"/>
    </row>
    <row r="91" spans="2:18" ht="12.75"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62"/>
      <c r="N91" s="62"/>
      <c r="O91" s="62"/>
      <c r="P91" s="62"/>
      <c r="R91" s="62"/>
    </row>
    <row r="92" spans="2:18" ht="12.75"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62"/>
      <c r="N92" s="62"/>
      <c r="O92" s="62"/>
      <c r="P92" s="62"/>
      <c r="R92" s="62"/>
    </row>
    <row r="93" spans="2:18" ht="12.75"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62"/>
      <c r="N93" s="62"/>
      <c r="O93" s="62"/>
      <c r="P93" s="62"/>
      <c r="R93" s="62"/>
    </row>
    <row r="94" spans="2:18" ht="12.75"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62"/>
      <c r="N94" s="62"/>
      <c r="O94" s="62"/>
      <c r="P94" s="62"/>
      <c r="R94" s="62"/>
    </row>
    <row r="95" spans="2:18" ht="12.75"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62"/>
      <c r="N95" s="62"/>
      <c r="O95" s="62"/>
      <c r="P95" s="62"/>
      <c r="R95" s="62"/>
    </row>
    <row r="96" spans="2:18" ht="12.75"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62"/>
      <c r="N96" s="62"/>
      <c r="O96" s="62"/>
      <c r="P96" s="62"/>
      <c r="R96" s="62"/>
    </row>
    <row r="97" spans="2:18" ht="12.75"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62"/>
      <c r="N97" s="62"/>
      <c r="O97" s="62"/>
      <c r="P97" s="62"/>
      <c r="R97" s="62"/>
    </row>
    <row r="98" spans="2:18" ht="12.75"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62"/>
      <c r="N98" s="62"/>
      <c r="O98" s="62"/>
      <c r="P98" s="62"/>
      <c r="R98" s="62"/>
    </row>
    <row r="99" spans="2:18" ht="12.75"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62"/>
      <c r="N99" s="62"/>
      <c r="O99" s="62"/>
      <c r="P99" s="62"/>
      <c r="R99" s="62"/>
    </row>
    <row r="100" spans="2:18" ht="12.75"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62"/>
      <c r="N100" s="62"/>
      <c r="O100" s="62"/>
      <c r="P100" s="62"/>
      <c r="R100" s="62"/>
    </row>
    <row r="101" spans="2:18" ht="12.75"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62"/>
      <c r="N101" s="62"/>
      <c r="O101" s="62"/>
      <c r="P101" s="62"/>
      <c r="R101" s="62"/>
    </row>
    <row r="102" spans="2:18" ht="12.75"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62"/>
      <c r="N102" s="62"/>
      <c r="O102" s="62"/>
      <c r="P102" s="62"/>
      <c r="R102" s="62"/>
    </row>
    <row r="103" spans="2:18" ht="12.75"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62"/>
      <c r="N103" s="62"/>
      <c r="O103" s="62"/>
      <c r="P103" s="62"/>
      <c r="R103" s="62"/>
    </row>
    <row r="104" spans="2:18" ht="12.75"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62"/>
      <c r="N104" s="62"/>
      <c r="O104" s="62"/>
      <c r="P104" s="62"/>
      <c r="R104" s="62"/>
    </row>
    <row r="105" spans="2:18" ht="12.75"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62"/>
      <c r="N105" s="62"/>
      <c r="O105" s="62"/>
      <c r="P105" s="62"/>
      <c r="R105" s="62"/>
    </row>
    <row r="106" spans="2:18" ht="12.75"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62"/>
      <c r="N106" s="62"/>
      <c r="O106" s="62"/>
      <c r="P106" s="62"/>
      <c r="R106" s="62"/>
    </row>
    <row r="107" spans="2:18" ht="12.75"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62"/>
      <c r="N107" s="62"/>
      <c r="O107" s="62"/>
      <c r="P107" s="62"/>
      <c r="R107" s="62"/>
    </row>
    <row r="108" spans="2:18" ht="12.75"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62"/>
      <c r="N108" s="62"/>
      <c r="O108" s="62"/>
      <c r="P108" s="62"/>
      <c r="R108" s="62"/>
    </row>
    <row r="109" spans="2:18" ht="12.75"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62"/>
      <c r="N109" s="62"/>
      <c r="O109" s="62"/>
      <c r="P109" s="62"/>
      <c r="R109" s="62"/>
    </row>
    <row r="110" spans="2:18" ht="12.75"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62"/>
      <c r="N110" s="62"/>
      <c r="O110" s="62"/>
      <c r="P110" s="62"/>
      <c r="R110" s="62"/>
    </row>
    <row r="111" spans="2:18" ht="12.75"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62"/>
      <c r="N111" s="62"/>
      <c r="O111" s="62"/>
      <c r="P111" s="62"/>
      <c r="R111" s="62"/>
    </row>
    <row r="112" spans="2:18" ht="12.7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62"/>
      <c r="N112" s="62"/>
      <c r="O112" s="62"/>
      <c r="P112" s="62"/>
      <c r="R112" s="62"/>
    </row>
    <row r="113" spans="2:18" ht="12.7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62"/>
      <c r="N113" s="62"/>
      <c r="O113" s="62"/>
      <c r="P113" s="62"/>
      <c r="R113" s="62"/>
    </row>
    <row r="114" spans="2:18" ht="12.75"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62"/>
      <c r="N114" s="62"/>
      <c r="O114" s="62"/>
      <c r="P114" s="62"/>
      <c r="R114" s="62"/>
    </row>
    <row r="115" spans="2:18" ht="12.7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62"/>
      <c r="N115" s="62"/>
      <c r="O115" s="62"/>
      <c r="P115" s="62"/>
      <c r="R115" s="62"/>
    </row>
    <row r="116" spans="2:18" ht="12.7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62"/>
      <c r="N116" s="62"/>
      <c r="O116" s="62"/>
      <c r="P116" s="62"/>
      <c r="R116" s="62"/>
    </row>
    <row r="117" spans="2:18" ht="12.7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62"/>
      <c r="N117" s="62"/>
      <c r="O117" s="62"/>
      <c r="P117" s="62"/>
      <c r="R117" s="62"/>
    </row>
    <row r="118" spans="2:18" ht="12.7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62"/>
      <c r="N118" s="62"/>
      <c r="O118" s="62"/>
      <c r="P118" s="62"/>
      <c r="R118" s="62"/>
    </row>
    <row r="119" spans="2:18" ht="12.7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62"/>
      <c r="N119" s="62"/>
      <c r="O119" s="62"/>
      <c r="P119" s="62"/>
      <c r="R119" s="62"/>
    </row>
    <row r="120" spans="2:18" ht="12.7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62"/>
      <c r="N120" s="62"/>
      <c r="O120" s="62"/>
      <c r="P120" s="62"/>
      <c r="R120" s="62"/>
    </row>
    <row r="121" spans="2:18" ht="12.7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62"/>
      <c r="N121" s="62"/>
      <c r="O121" s="62"/>
      <c r="P121" s="62"/>
      <c r="R121" s="62"/>
    </row>
    <row r="122" spans="2:18" ht="12.7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62"/>
      <c r="N122" s="62"/>
      <c r="O122" s="62"/>
      <c r="P122" s="62"/>
      <c r="R122" s="62"/>
    </row>
    <row r="123" spans="2:18" ht="12.7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62"/>
      <c r="N123" s="62"/>
      <c r="O123" s="62"/>
      <c r="P123" s="62"/>
      <c r="R123" s="62"/>
    </row>
    <row r="124" spans="2:18" ht="12.7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62"/>
      <c r="N124" s="62"/>
      <c r="O124" s="62"/>
      <c r="P124" s="62"/>
      <c r="R124" s="62"/>
    </row>
    <row r="125" spans="2:18" ht="12.75"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62"/>
      <c r="N125" s="62"/>
      <c r="O125" s="62"/>
      <c r="P125" s="62"/>
      <c r="R125" s="62"/>
    </row>
    <row r="126" spans="2:18" ht="12.75"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62"/>
      <c r="N126" s="62"/>
      <c r="O126" s="62"/>
      <c r="P126" s="62"/>
      <c r="R126" s="62"/>
    </row>
    <row r="127" spans="2:18" ht="12.75"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62"/>
      <c r="N127" s="62"/>
      <c r="O127" s="62"/>
      <c r="P127" s="62"/>
      <c r="R127" s="62"/>
    </row>
    <row r="128" spans="2:18" ht="12.75"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62"/>
      <c r="N128" s="62"/>
      <c r="O128" s="62"/>
      <c r="P128" s="62"/>
      <c r="R128" s="62"/>
    </row>
    <row r="129" spans="2:18" ht="12.75"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62"/>
      <c r="N129" s="62"/>
      <c r="O129" s="62"/>
      <c r="P129" s="62"/>
      <c r="R129" s="62"/>
    </row>
    <row r="130" spans="2:18" ht="12.75"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62"/>
      <c r="N130" s="62"/>
      <c r="O130" s="62"/>
      <c r="P130" s="62"/>
      <c r="R130" s="62"/>
    </row>
    <row r="131" spans="2:18" ht="12.75"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62"/>
      <c r="N131" s="62"/>
      <c r="O131" s="62"/>
      <c r="P131" s="62"/>
      <c r="R131" s="62"/>
    </row>
    <row r="132" spans="2:18" ht="12.75"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62"/>
      <c r="N132" s="62"/>
      <c r="O132" s="62"/>
      <c r="P132" s="62"/>
      <c r="R132" s="62"/>
    </row>
    <row r="133" spans="2:18" ht="12.75"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62"/>
      <c r="N133" s="62"/>
      <c r="O133" s="62"/>
      <c r="P133" s="62"/>
      <c r="R133" s="62"/>
    </row>
    <row r="134" spans="2:18" ht="12.75"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62"/>
      <c r="N134" s="62"/>
      <c r="O134" s="62"/>
      <c r="P134" s="62"/>
      <c r="R134" s="62"/>
    </row>
    <row r="135" spans="2:18" ht="12.75"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62"/>
      <c r="N135" s="62"/>
      <c r="O135" s="62"/>
      <c r="P135" s="62"/>
      <c r="R135" s="62"/>
    </row>
    <row r="136" spans="2:18" ht="12.75"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62"/>
      <c r="N136" s="62"/>
      <c r="O136" s="62"/>
      <c r="P136" s="62"/>
      <c r="R136" s="62"/>
    </row>
    <row r="137" spans="2:18" ht="12.75"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62"/>
      <c r="N137" s="62"/>
      <c r="O137" s="62"/>
      <c r="P137" s="62"/>
      <c r="R137" s="62"/>
    </row>
    <row r="138" spans="2:18" ht="12.75"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62"/>
      <c r="N138" s="62"/>
      <c r="O138" s="62"/>
      <c r="P138" s="62"/>
      <c r="R138" s="62"/>
    </row>
    <row r="139" spans="2:18" ht="12.75"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62"/>
      <c r="N139" s="62"/>
      <c r="O139" s="62"/>
      <c r="P139" s="62"/>
      <c r="R139" s="62"/>
    </row>
    <row r="140" spans="2:18" ht="12.7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62"/>
      <c r="N140" s="62"/>
      <c r="O140" s="62"/>
      <c r="P140" s="62"/>
      <c r="R140" s="62"/>
    </row>
    <row r="141" spans="2:18" ht="12.7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62"/>
      <c r="N141" s="62"/>
      <c r="O141" s="62"/>
      <c r="P141" s="62"/>
      <c r="R141" s="62"/>
    </row>
    <row r="142" spans="2:18" ht="12.7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62"/>
      <c r="N142" s="62"/>
      <c r="O142" s="62"/>
      <c r="P142" s="62"/>
      <c r="R142" s="62"/>
    </row>
    <row r="143" spans="2:18" ht="12.7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62"/>
      <c r="N143" s="62"/>
      <c r="O143" s="62"/>
      <c r="P143" s="62"/>
      <c r="R143" s="62"/>
    </row>
    <row r="144" spans="2:18" ht="12.7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62"/>
      <c r="N144" s="62"/>
      <c r="O144" s="62"/>
      <c r="P144" s="62"/>
      <c r="R144" s="62"/>
    </row>
    <row r="145" spans="2:18" ht="12.7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62"/>
      <c r="N145" s="62"/>
      <c r="O145" s="62"/>
      <c r="P145" s="62"/>
      <c r="R145" s="62"/>
    </row>
    <row r="146" spans="2:18" ht="12.7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62"/>
      <c r="N146" s="62"/>
      <c r="O146" s="62"/>
      <c r="P146" s="62"/>
      <c r="R146" s="62"/>
    </row>
    <row r="147" spans="2:18" ht="12.7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62"/>
      <c r="N147" s="62"/>
      <c r="O147" s="62"/>
      <c r="P147" s="62"/>
      <c r="R147" s="62"/>
    </row>
    <row r="148" spans="2:18" ht="12.7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62"/>
      <c r="N148" s="62"/>
      <c r="O148" s="62"/>
      <c r="P148" s="62"/>
      <c r="R148" s="62"/>
    </row>
    <row r="149" spans="2:18" ht="12.7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62"/>
      <c r="N149" s="62"/>
      <c r="O149" s="62"/>
      <c r="P149" s="62"/>
      <c r="R149" s="62"/>
    </row>
    <row r="150" spans="2:18" ht="12.7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62"/>
      <c r="N150" s="62"/>
      <c r="O150" s="62"/>
      <c r="P150" s="62"/>
      <c r="R150" s="62"/>
    </row>
    <row r="151" spans="2:18" ht="12.7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62"/>
      <c r="N151" s="62"/>
      <c r="O151" s="62"/>
      <c r="P151" s="62"/>
      <c r="R151" s="62"/>
    </row>
    <row r="152" spans="2:18" ht="12.7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62"/>
      <c r="N152" s="62"/>
      <c r="O152" s="62"/>
      <c r="P152" s="62"/>
      <c r="R152" s="62"/>
    </row>
    <row r="153" spans="2:18" ht="12.7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62"/>
      <c r="N153" s="62"/>
      <c r="O153" s="62"/>
      <c r="P153" s="62"/>
      <c r="R153" s="62"/>
    </row>
    <row r="154" spans="2:18" ht="12.75"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62"/>
      <c r="N154" s="62"/>
      <c r="O154" s="62"/>
      <c r="P154" s="62"/>
      <c r="R154" s="62"/>
    </row>
    <row r="155" spans="2:18" ht="12.75"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62"/>
      <c r="N155" s="62"/>
      <c r="O155" s="62"/>
      <c r="P155" s="62"/>
      <c r="R155" s="62"/>
    </row>
    <row r="156" spans="2:18" ht="12.75"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62"/>
      <c r="N156" s="62"/>
      <c r="O156" s="62"/>
      <c r="P156" s="62"/>
      <c r="R156" s="62"/>
    </row>
    <row r="157" spans="2:18" ht="12.75"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62"/>
      <c r="N157" s="62"/>
      <c r="O157" s="62"/>
      <c r="P157" s="62"/>
      <c r="R157" s="62"/>
    </row>
    <row r="158" spans="2:18" ht="12.75"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62"/>
      <c r="N158" s="62"/>
      <c r="O158" s="62"/>
      <c r="P158" s="62"/>
      <c r="R158" s="62"/>
    </row>
    <row r="159" spans="2:18" ht="12.75"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62"/>
      <c r="N159" s="62"/>
      <c r="O159" s="62"/>
      <c r="P159" s="62"/>
      <c r="R159" s="62"/>
    </row>
    <row r="160" spans="2:18" ht="12.75"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62"/>
      <c r="N160" s="62"/>
      <c r="O160" s="62"/>
      <c r="P160" s="62"/>
      <c r="R160" s="62"/>
    </row>
    <row r="161" spans="2:18" ht="12.75"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62"/>
      <c r="N161" s="62"/>
      <c r="O161" s="62"/>
      <c r="P161" s="62"/>
      <c r="R161" s="62"/>
    </row>
    <row r="162" spans="2:18" ht="12.75"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62"/>
      <c r="N162" s="62"/>
      <c r="O162" s="62"/>
      <c r="P162" s="62"/>
      <c r="R162" s="62"/>
    </row>
    <row r="163" spans="2:18" ht="12.75"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62"/>
      <c r="N163" s="62"/>
      <c r="O163" s="62"/>
      <c r="P163" s="62"/>
      <c r="R163" s="62"/>
    </row>
    <row r="164" spans="2:18" ht="12.75"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62"/>
      <c r="N164" s="62"/>
      <c r="O164" s="62"/>
      <c r="P164" s="62"/>
      <c r="R164" s="62"/>
    </row>
    <row r="165" spans="2:18" ht="12.75"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62"/>
      <c r="N165" s="62"/>
      <c r="O165" s="62"/>
      <c r="P165" s="62"/>
      <c r="R165" s="62"/>
    </row>
    <row r="166" spans="2:18" ht="12.75"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62"/>
      <c r="N166" s="62"/>
      <c r="O166" s="62"/>
      <c r="P166" s="62"/>
      <c r="R166" s="62"/>
    </row>
    <row r="167" spans="2:18" ht="12.75"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62"/>
      <c r="N167" s="62"/>
      <c r="O167" s="62"/>
      <c r="P167" s="62"/>
      <c r="R167" s="62"/>
    </row>
    <row r="168" spans="2:18" ht="12.75"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62"/>
      <c r="N168" s="62"/>
      <c r="O168" s="62"/>
      <c r="P168" s="62"/>
      <c r="R168" s="62"/>
    </row>
    <row r="169" spans="2:18" ht="12.75"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62"/>
      <c r="N169" s="62"/>
      <c r="O169" s="62"/>
      <c r="P169" s="62"/>
      <c r="R169" s="62"/>
    </row>
    <row r="170" spans="2:18" ht="12.75"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62"/>
      <c r="N170" s="62"/>
      <c r="O170" s="62"/>
      <c r="P170" s="62"/>
      <c r="R170" s="62"/>
    </row>
    <row r="171" spans="2:18" ht="12.75"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62"/>
      <c r="N171" s="62"/>
      <c r="O171" s="62"/>
      <c r="P171" s="62"/>
      <c r="R171" s="62"/>
    </row>
    <row r="172" spans="2:18" ht="12.75"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62"/>
      <c r="N172" s="62"/>
      <c r="O172" s="62"/>
      <c r="P172" s="62"/>
      <c r="R172" s="62"/>
    </row>
    <row r="173" spans="2:18" ht="12.75"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62"/>
      <c r="N173" s="62"/>
      <c r="O173" s="62"/>
      <c r="P173" s="62"/>
      <c r="R173" s="62"/>
    </row>
    <row r="174" spans="2:18" ht="12.75"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62"/>
      <c r="N174" s="62"/>
      <c r="O174" s="62"/>
      <c r="P174" s="62"/>
      <c r="R174" s="62"/>
    </row>
    <row r="175" spans="2:18" ht="12.75"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62"/>
      <c r="N175" s="62"/>
      <c r="O175" s="62"/>
      <c r="P175" s="62"/>
      <c r="R175" s="62"/>
    </row>
    <row r="176" spans="2:18" ht="12.75"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62"/>
      <c r="N176" s="62"/>
      <c r="O176" s="62"/>
      <c r="P176" s="62"/>
      <c r="R176" s="62"/>
    </row>
    <row r="177" spans="2:18" ht="12.75"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62"/>
      <c r="N177" s="62"/>
      <c r="O177" s="62"/>
      <c r="P177" s="62"/>
      <c r="R177" s="62"/>
    </row>
    <row r="178" spans="2:18" ht="12.75"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62"/>
      <c r="N178" s="62"/>
      <c r="O178" s="62"/>
      <c r="P178" s="62"/>
      <c r="R178" s="62"/>
    </row>
    <row r="179" spans="2:18" ht="12.75"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62"/>
      <c r="N179" s="62"/>
      <c r="O179" s="62"/>
      <c r="P179" s="62"/>
      <c r="R179" s="62"/>
    </row>
    <row r="180" spans="2:18" ht="12.75"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62"/>
      <c r="N180" s="62"/>
      <c r="O180" s="62"/>
      <c r="P180" s="62"/>
      <c r="R180" s="62"/>
    </row>
    <row r="181" spans="2:18" ht="12.75"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62"/>
      <c r="N181" s="62"/>
      <c r="O181" s="62"/>
      <c r="P181" s="62"/>
      <c r="R181" s="62"/>
    </row>
    <row r="182" spans="2:18" ht="12.75"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62"/>
      <c r="N182" s="62"/>
      <c r="O182" s="62"/>
      <c r="P182" s="62"/>
      <c r="R182" s="62"/>
    </row>
    <row r="183" spans="2:18" ht="12.75"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62"/>
      <c r="N183" s="62"/>
      <c r="O183" s="62"/>
      <c r="P183" s="62"/>
      <c r="R183" s="62"/>
    </row>
    <row r="184" spans="2:18" ht="12.75"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62"/>
      <c r="N184" s="62"/>
      <c r="O184" s="62"/>
      <c r="P184" s="62"/>
      <c r="R184" s="62"/>
    </row>
    <row r="185" spans="2:18" ht="12.75"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62"/>
      <c r="N185" s="62"/>
      <c r="O185" s="62"/>
      <c r="P185" s="62"/>
      <c r="R185" s="62"/>
    </row>
    <row r="186" spans="2:18" ht="12.75"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62"/>
      <c r="N186" s="62"/>
      <c r="O186" s="62"/>
      <c r="P186" s="62"/>
      <c r="R186" s="62"/>
    </row>
    <row r="187" spans="2:18" ht="12.75"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62"/>
      <c r="N187" s="62"/>
      <c r="O187" s="62"/>
      <c r="P187" s="62"/>
      <c r="R187" s="62"/>
    </row>
    <row r="188" spans="2:18" ht="12.75"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62"/>
      <c r="N188" s="62"/>
      <c r="O188" s="62"/>
      <c r="P188" s="62"/>
      <c r="R188" s="62"/>
    </row>
    <row r="189" spans="2:18" ht="12.75"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62"/>
      <c r="N189" s="62"/>
      <c r="O189" s="62"/>
      <c r="P189" s="62"/>
      <c r="R189" s="62"/>
    </row>
    <row r="190" spans="2:18" ht="12.75"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62"/>
      <c r="N190" s="62"/>
      <c r="O190" s="62"/>
      <c r="P190" s="62"/>
      <c r="R190" s="62"/>
    </row>
    <row r="191" spans="2:18" ht="12.75"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62"/>
      <c r="N191" s="62"/>
      <c r="O191" s="62"/>
      <c r="P191" s="62"/>
      <c r="R191" s="62"/>
    </row>
    <row r="192" spans="2:18" ht="12.75"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62"/>
      <c r="N192" s="62"/>
      <c r="O192" s="62"/>
      <c r="P192" s="62"/>
      <c r="R192" s="62"/>
    </row>
    <row r="193" spans="2:18" ht="12.75"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62"/>
      <c r="N193" s="62"/>
      <c r="O193" s="62"/>
      <c r="P193" s="62"/>
      <c r="R193" s="62"/>
    </row>
    <row r="194" spans="2:18" ht="12.75"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62"/>
      <c r="N194" s="62"/>
      <c r="O194" s="62"/>
      <c r="P194" s="62"/>
      <c r="R194" s="62"/>
    </row>
    <row r="195" spans="2:18" ht="12.75"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62"/>
      <c r="N195" s="62"/>
      <c r="O195" s="62"/>
      <c r="P195" s="62"/>
      <c r="R195" s="62"/>
    </row>
    <row r="196" spans="2:18" ht="12.75"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62"/>
      <c r="N196" s="62"/>
      <c r="O196" s="62"/>
      <c r="P196" s="62"/>
      <c r="R196" s="62"/>
    </row>
    <row r="197" spans="2:18" ht="12.75"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62"/>
      <c r="N197" s="62"/>
      <c r="O197" s="62"/>
      <c r="P197" s="62"/>
      <c r="R197" s="62"/>
    </row>
    <row r="198" spans="2:18" ht="12.75"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62"/>
      <c r="N198" s="62"/>
      <c r="O198" s="62"/>
      <c r="P198" s="62"/>
      <c r="R198" s="62"/>
    </row>
    <row r="199" spans="2:18" ht="12.75"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62"/>
      <c r="N199" s="62"/>
      <c r="O199" s="62"/>
      <c r="P199" s="62"/>
      <c r="R199" s="62"/>
    </row>
    <row r="200" spans="2:18" ht="12.75"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62"/>
      <c r="N200" s="62"/>
      <c r="O200" s="62"/>
      <c r="P200" s="62"/>
      <c r="R200" s="62"/>
    </row>
    <row r="201" spans="2:18" ht="12.75"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62"/>
      <c r="N201" s="62"/>
      <c r="O201" s="62"/>
      <c r="P201" s="62"/>
      <c r="R201" s="62"/>
    </row>
    <row r="202" spans="2:18" ht="12.75"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62"/>
      <c r="N202" s="62"/>
      <c r="O202" s="62"/>
      <c r="P202" s="62"/>
      <c r="R202" s="62"/>
    </row>
    <row r="203" spans="2:18" ht="12.75"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62"/>
      <c r="N203" s="62"/>
      <c r="O203" s="62"/>
      <c r="P203" s="62"/>
      <c r="R203" s="62"/>
    </row>
    <row r="204" spans="2:18" ht="12.75"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62"/>
      <c r="N204" s="62"/>
      <c r="O204" s="62"/>
      <c r="P204" s="62"/>
      <c r="R204" s="62"/>
    </row>
    <row r="205" spans="2:18" ht="12.75"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62"/>
      <c r="N205" s="62"/>
      <c r="O205" s="62"/>
      <c r="P205" s="62"/>
      <c r="R205" s="62"/>
    </row>
    <row r="206" spans="2:18" ht="12.75"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62"/>
      <c r="N206" s="62"/>
      <c r="O206" s="62"/>
      <c r="P206" s="62"/>
      <c r="R206" s="62"/>
    </row>
    <row r="207" spans="2:18" ht="12.75"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62"/>
      <c r="N207" s="62"/>
      <c r="O207" s="62"/>
      <c r="P207" s="62"/>
      <c r="R207" s="62"/>
    </row>
    <row r="208" spans="2:18" ht="12.75"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62"/>
      <c r="N208" s="62"/>
      <c r="O208" s="62"/>
      <c r="P208" s="62"/>
      <c r="R208" s="62"/>
    </row>
    <row r="209" spans="2:18" ht="12.75"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62"/>
      <c r="N209" s="62"/>
      <c r="O209" s="62"/>
      <c r="P209" s="62"/>
      <c r="R209" s="62"/>
    </row>
    <row r="210" spans="2:18" ht="12.75"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62"/>
      <c r="N210" s="62"/>
      <c r="O210" s="62"/>
      <c r="P210" s="62"/>
      <c r="R210" s="62"/>
    </row>
    <row r="211" spans="2:18" ht="12.75"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62"/>
      <c r="N211" s="62"/>
      <c r="O211" s="62"/>
      <c r="P211" s="62"/>
      <c r="R211" s="62"/>
    </row>
    <row r="212" spans="2:18" ht="12.75"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62"/>
      <c r="N212" s="62"/>
      <c r="O212" s="62"/>
      <c r="P212" s="62"/>
      <c r="R212" s="62"/>
    </row>
    <row r="213" spans="2:18" ht="12.75"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62"/>
      <c r="N213" s="62"/>
      <c r="O213" s="62"/>
      <c r="P213" s="62"/>
      <c r="R213" s="62"/>
    </row>
    <row r="214" spans="2:18" ht="12.75"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62"/>
      <c r="N214" s="62"/>
      <c r="O214" s="62"/>
      <c r="P214" s="62"/>
      <c r="R214" s="62"/>
    </row>
    <row r="215" spans="2:18" ht="12.75"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62"/>
      <c r="N215" s="62"/>
      <c r="O215" s="62"/>
      <c r="P215" s="62"/>
      <c r="R215" s="62"/>
    </row>
    <row r="216" spans="2:18" ht="12.75"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62"/>
      <c r="N216" s="62"/>
      <c r="O216" s="62"/>
      <c r="P216" s="62"/>
      <c r="R216" s="62"/>
    </row>
    <row r="217" spans="2:18" ht="12.75"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62"/>
      <c r="N217" s="62"/>
      <c r="O217" s="62"/>
      <c r="P217" s="62"/>
      <c r="R217" s="62"/>
    </row>
    <row r="218" spans="2:18" ht="12.75"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62"/>
      <c r="N218" s="62"/>
      <c r="O218" s="62"/>
      <c r="P218" s="62"/>
      <c r="R218" s="62"/>
    </row>
    <row r="219" spans="2:18" ht="12.75"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62"/>
      <c r="N219" s="62"/>
      <c r="O219" s="62"/>
      <c r="P219" s="62"/>
      <c r="R219" s="62"/>
    </row>
    <row r="220" spans="2:18" ht="12.75"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62"/>
      <c r="N220" s="62"/>
      <c r="O220" s="62"/>
      <c r="P220" s="62"/>
      <c r="R220" s="62"/>
    </row>
    <row r="221" spans="2:18" ht="12.75"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62"/>
      <c r="N221" s="62"/>
      <c r="O221" s="62"/>
      <c r="P221" s="62"/>
      <c r="R221" s="62"/>
    </row>
    <row r="222" spans="2:18" ht="12.75"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62"/>
      <c r="N222" s="62"/>
      <c r="O222" s="62"/>
      <c r="P222" s="62"/>
      <c r="R222" s="62"/>
    </row>
    <row r="223" spans="2:18" ht="12.75"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62"/>
      <c r="N223" s="62"/>
      <c r="O223" s="62"/>
      <c r="P223" s="62"/>
      <c r="R223" s="62"/>
    </row>
    <row r="224" spans="2:18" ht="12.75"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62"/>
      <c r="N224" s="62"/>
      <c r="O224" s="62"/>
      <c r="P224" s="62"/>
      <c r="R224" s="62"/>
    </row>
    <row r="225" spans="2:18" ht="12.75"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62"/>
      <c r="N225" s="62"/>
      <c r="O225" s="62"/>
      <c r="P225" s="62"/>
      <c r="R225" s="62"/>
    </row>
    <row r="226" spans="2:18" ht="12.75"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62"/>
      <c r="N226" s="62"/>
      <c r="O226" s="62"/>
      <c r="P226" s="62"/>
      <c r="R226" s="62"/>
    </row>
    <row r="227" spans="2:18" ht="12.75"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62"/>
      <c r="N227" s="62"/>
      <c r="O227" s="62"/>
      <c r="P227" s="62"/>
      <c r="R227" s="62"/>
    </row>
    <row r="228" spans="2:18" ht="12.75"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62"/>
      <c r="N228" s="62"/>
      <c r="O228" s="62"/>
      <c r="P228" s="62"/>
      <c r="R228" s="62"/>
    </row>
    <row r="229" spans="2:18" ht="12.75"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62"/>
      <c r="N229" s="62"/>
      <c r="O229" s="62"/>
      <c r="P229" s="62"/>
      <c r="R229" s="62"/>
    </row>
    <row r="230" spans="2:18" ht="12.75"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62"/>
      <c r="N230" s="62"/>
      <c r="O230" s="62"/>
      <c r="P230" s="62"/>
      <c r="R230" s="62"/>
    </row>
    <row r="231" spans="2:18" ht="12.75"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62"/>
      <c r="N231" s="62"/>
      <c r="O231" s="62"/>
      <c r="P231" s="62"/>
      <c r="R231" s="62"/>
    </row>
    <row r="232" spans="2:18" ht="12.75"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62"/>
      <c r="N232" s="62"/>
      <c r="O232" s="62"/>
      <c r="P232" s="62"/>
      <c r="R232" s="62"/>
    </row>
    <row r="233" spans="2:18" ht="12.75"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62"/>
      <c r="N233" s="62"/>
      <c r="O233" s="62"/>
      <c r="P233" s="62"/>
      <c r="R233" s="62"/>
    </row>
    <row r="234" spans="2:18" ht="12.75"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62"/>
      <c r="N234" s="62"/>
      <c r="O234" s="62"/>
      <c r="P234" s="62"/>
      <c r="R234" s="62"/>
    </row>
    <row r="235" spans="2:18" ht="12.75"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62"/>
      <c r="N235" s="62"/>
      <c r="O235" s="62"/>
      <c r="P235" s="62"/>
      <c r="R235" s="62"/>
    </row>
    <row r="236" spans="2:18" ht="12.75"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62"/>
      <c r="N236" s="62"/>
      <c r="O236" s="62"/>
      <c r="P236" s="62"/>
      <c r="R236" s="62"/>
    </row>
    <row r="237" spans="2:18" ht="12.75"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62"/>
      <c r="N237" s="62"/>
      <c r="O237" s="62"/>
      <c r="P237" s="62"/>
      <c r="R237" s="62"/>
    </row>
    <row r="238" spans="2:18" ht="12.75"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62"/>
      <c r="N238" s="62"/>
      <c r="O238" s="62"/>
      <c r="P238" s="62"/>
      <c r="R238" s="62"/>
    </row>
    <row r="239" spans="2:18" ht="12.75"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62"/>
      <c r="N239" s="62"/>
      <c r="O239" s="62"/>
      <c r="P239" s="62"/>
      <c r="R239" s="62"/>
    </row>
    <row r="240" spans="2:18" ht="12.75"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62"/>
      <c r="N240" s="62"/>
      <c r="O240" s="62"/>
      <c r="P240" s="62"/>
      <c r="R240" s="62"/>
    </row>
    <row r="241" spans="2:18" ht="12.75"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62"/>
      <c r="N241" s="62"/>
      <c r="O241" s="62"/>
      <c r="P241" s="62"/>
      <c r="R241" s="62"/>
    </row>
    <row r="242" spans="2:18" ht="12.75"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62"/>
      <c r="N242" s="62"/>
      <c r="O242" s="62"/>
      <c r="P242" s="62"/>
      <c r="R242" s="62"/>
    </row>
    <row r="243" spans="2:18" ht="12.75"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62"/>
      <c r="N243" s="62"/>
      <c r="O243" s="62"/>
      <c r="P243" s="62"/>
      <c r="R243" s="62"/>
    </row>
    <row r="244" spans="2:18" ht="12.75"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62"/>
      <c r="N244" s="62"/>
      <c r="O244" s="62"/>
      <c r="P244" s="62"/>
      <c r="R244" s="62"/>
    </row>
    <row r="245" spans="2:18" ht="12.75"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62"/>
      <c r="N245" s="62"/>
      <c r="O245" s="62"/>
      <c r="P245" s="62"/>
      <c r="R245" s="62"/>
    </row>
    <row r="246" spans="2:18" ht="12.75"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62"/>
      <c r="N246" s="62"/>
      <c r="O246" s="62"/>
      <c r="P246" s="62"/>
      <c r="R246" s="62"/>
    </row>
    <row r="247" spans="2:18" ht="12.75"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62"/>
      <c r="N247" s="62"/>
      <c r="O247" s="62"/>
      <c r="P247" s="62"/>
      <c r="R247" s="62"/>
    </row>
    <row r="248" spans="2:18" ht="12.75"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62"/>
      <c r="N248" s="62"/>
      <c r="O248" s="62"/>
      <c r="P248" s="62"/>
      <c r="R248" s="62"/>
    </row>
    <row r="249" spans="2:18" ht="12.75"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62"/>
      <c r="N249" s="62"/>
      <c r="O249" s="62"/>
      <c r="P249" s="62"/>
      <c r="R249" s="62"/>
    </row>
    <row r="250" spans="2:18" ht="12.75"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62"/>
      <c r="N250" s="62"/>
      <c r="O250" s="62"/>
      <c r="P250" s="62"/>
      <c r="R250" s="62"/>
    </row>
    <row r="251" spans="2:18" ht="12.75"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62"/>
      <c r="N251" s="62"/>
      <c r="O251" s="62"/>
      <c r="P251" s="62"/>
      <c r="R251" s="62"/>
    </row>
    <row r="252" spans="2:18" ht="12.75"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62"/>
      <c r="N252" s="62"/>
      <c r="O252" s="62"/>
      <c r="P252" s="62"/>
      <c r="R252" s="62"/>
    </row>
    <row r="253" spans="2:18" ht="12.75"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62"/>
      <c r="N253" s="62"/>
      <c r="O253" s="62"/>
      <c r="P253" s="62"/>
      <c r="R253" s="62"/>
    </row>
    <row r="254" spans="2:18" ht="12.75"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62"/>
      <c r="N254" s="62"/>
      <c r="O254" s="62"/>
      <c r="P254" s="62"/>
      <c r="R254" s="62"/>
    </row>
    <row r="255" spans="2:18" ht="12.75"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62"/>
      <c r="N255" s="62"/>
      <c r="O255" s="62"/>
      <c r="P255" s="62"/>
      <c r="R255" s="62"/>
    </row>
    <row r="256" spans="2:18" ht="12.75"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62"/>
      <c r="N256" s="62"/>
      <c r="O256" s="62"/>
      <c r="P256" s="62"/>
      <c r="R256" s="62"/>
    </row>
    <row r="257" spans="2:18" ht="12.75"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62"/>
      <c r="N257" s="62"/>
      <c r="O257" s="62"/>
      <c r="P257" s="62"/>
      <c r="R257" s="62"/>
    </row>
    <row r="258" spans="2:18" ht="12.75"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62"/>
      <c r="N258" s="62"/>
      <c r="O258" s="62"/>
      <c r="P258" s="62"/>
      <c r="R258" s="62"/>
    </row>
    <row r="259" spans="2:18" ht="12.75"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62"/>
      <c r="N259" s="62"/>
      <c r="O259" s="62"/>
      <c r="P259" s="62"/>
      <c r="R259" s="62"/>
    </row>
    <row r="260" spans="2:18" ht="12.75"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62"/>
      <c r="N260" s="62"/>
      <c r="O260" s="62"/>
      <c r="P260" s="62"/>
      <c r="R260" s="62"/>
    </row>
    <row r="261" spans="2:18" ht="12.75"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62"/>
      <c r="N261" s="62"/>
      <c r="O261" s="62"/>
      <c r="P261" s="62"/>
      <c r="R261" s="62"/>
    </row>
    <row r="262" spans="2:18" ht="12.75"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62"/>
      <c r="N262" s="62"/>
      <c r="O262" s="62"/>
      <c r="P262" s="62"/>
      <c r="R262" s="62"/>
    </row>
    <row r="263" spans="2:18" ht="12.75"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62"/>
      <c r="N263" s="62"/>
      <c r="O263" s="62"/>
      <c r="P263" s="62"/>
      <c r="R263" s="62"/>
    </row>
    <row r="264" spans="2:18" ht="12.75"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62"/>
      <c r="N264" s="62"/>
      <c r="O264" s="62"/>
      <c r="P264" s="62"/>
      <c r="R264" s="62"/>
    </row>
    <row r="265" spans="2:18" ht="12.75"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62"/>
      <c r="N265" s="62"/>
      <c r="O265" s="62"/>
      <c r="P265" s="62"/>
      <c r="R265" s="62"/>
    </row>
    <row r="266" spans="2:18" ht="12.75"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62"/>
      <c r="N266" s="62"/>
      <c r="O266" s="62"/>
      <c r="P266" s="62"/>
      <c r="R266" s="62"/>
    </row>
    <row r="267" spans="2:18" ht="12.75"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62"/>
      <c r="N267" s="62"/>
      <c r="O267" s="62"/>
      <c r="P267" s="62"/>
      <c r="R267" s="62"/>
    </row>
    <row r="268" spans="2:18" ht="12.75"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62"/>
      <c r="N268" s="62"/>
      <c r="O268" s="62"/>
      <c r="P268" s="62"/>
      <c r="R268" s="62"/>
    </row>
    <row r="269" spans="2:18" ht="12.75"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62"/>
      <c r="N269" s="62"/>
      <c r="O269" s="62"/>
      <c r="P269" s="62"/>
      <c r="R269" s="62"/>
    </row>
    <row r="270" spans="2:18" ht="12.75"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62"/>
      <c r="N270" s="62"/>
      <c r="O270" s="62"/>
      <c r="P270" s="62"/>
      <c r="R270" s="62"/>
    </row>
    <row r="271" spans="2:18" ht="12.75"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62"/>
      <c r="N271" s="62"/>
      <c r="O271" s="62"/>
      <c r="P271" s="62"/>
      <c r="R271" s="62"/>
    </row>
    <row r="272" spans="2:18" ht="12.75"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62"/>
      <c r="N272" s="62"/>
      <c r="O272" s="62"/>
      <c r="P272" s="62"/>
      <c r="R272" s="62"/>
    </row>
    <row r="273" spans="2:18" ht="12.75"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62"/>
      <c r="N273" s="62"/>
      <c r="O273" s="62"/>
      <c r="P273" s="62"/>
      <c r="R273" s="62"/>
    </row>
    <row r="274" spans="2:18" ht="12.75"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62"/>
      <c r="N274" s="62"/>
      <c r="O274" s="62"/>
      <c r="P274" s="62"/>
      <c r="R274" s="62"/>
    </row>
    <row r="275" spans="2:18" ht="12.75"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62"/>
      <c r="N275" s="62"/>
      <c r="O275" s="62"/>
      <c r="P275" s="62"/>
      <c r="R275" s="62"/>
    </row>
    <row r="276" spans="2:18" ht="12.75"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62"/>
      <c r="N276" s="62"/>
      <c r="O276" s="62"/>
      <c r="P276" s="62"/>
      <c r="R276" s="62"/>
    </row>
    <row r="277" spans="2:18" ht="12.75"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62"/>
      <c r="N277" s="62"/>
      <c r="O277" s="62"/>
      <c r="P277" s="62"/>
      <c r="R277" s="62"/>
    </row>
    <row r="278" spans="2:18" ht="12.75"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62"/>
      <c r="N278" s="62"/>
      <c r="O278" s="62"/>
      <c r="P278" s="62"/>
      <c r="R278" s="62"/>
    </row>
    <row r="279" spans="2:18" ht="12.75"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62"/>
      <c r="N279" s="62"/>
      <c r="O279" s="62"/>
      <c r="P279" s="62"/>
      <c r="R279" s="62"/>
    </row>
    <row r="280" spans="2:18" ht="12.75"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62"/>
      <c r="N280" s="62"/>
      <c r="O280" s="62"/>
      <c r="P280" s="62"/>
      <c r="R280" s="62"/>
    </row>
    <row r="281" spans="2:18" ht="12.75"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62"/>
      <c r="N281" s="62"/>
      <c r="O281" s="62"/>
      <c r="P281" s="62"/>
      <c r="R281" s="62"/>
    </row>
    <row r="282" spans="2:18" ht="12.75"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62"/>
      <c r="N282" s="62"/>
      <c r="O282" s="62"/>
      <c r="P282" s="62"/>
      <c r="R282" s="62"/>
    </row>
    <row r="283" spans="2:18" ht="12.75"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62"/>
      <c r="N283" s="62"/>
      <c r="O283" s="62"/>
      <c r="P283" s="62"/>
      <c r="R283" s="62"/>
    </row>
    <row r="284" spans="2:18" ht="12.75"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62"/>
      <c r="N284" s="62"/>
      <c r="O284" s="62"/>
      <c r="P284" s="62"/>
      <c r="R284" s="62"/>
    </row>
    <row r="285" spans="2:18" ht="12.75">
      <c r="G285" s="58"/>
      <c r="J285" s="58"/>
      <c r="K285" s="58"/>
      <c r="L285" s="58"/>
      <c r="M285" s="62"/>
      <c r="N285" s="62"/>
      <c r="O285" s="62"/>
      <c r="P285" s="62"/>
      <c r="R285" s="62"/>
    </row>
    <row r="286" spans="2:18" ht="12.75">
      <c r="G286" s="58"/>
      <c r="J286" s="58"/>
      <c r="K286" s="58"/>
      <c r="L286" s="58"/>
      <c r="M286" s="62"/>
      <c r="N286" s="62"/>
      <c r="O286" s="62"/>
      <c r="P286" s="62"/>
      <c r="R286" s="62"/>
    </row>
    <row r="287" spans="2:18" ht="12.75">
      <c r="G287" s="58"/>
      <c r="J287" s="58"/>
      <c r="K287" s="58"/>
      <c r="L287" s="58"/>
      <c r="M287" s="62"/>
      <c r="N287" s="62"/>
      <c r="O287" s="62"/>
      <c r="P287" s="62"/>
      <c r="R287" s="62"/>
    </row>
    <row r="288" spans="2:18" ht="12.75">
      <c r="G288" s="58"/>
      <c r="J288" s="58"/>
      <c r="K288" s="58"/>
      <c r="L288" s="58"/>
      <c r="M288" s="62"/>
      <c r="N288" s="62"/>
      <c r="O288" s="62"/>
      <c r="P288" s="62"/>
      <c r="R288" s="62"/>
    </row>
    <row r="289" spans="7:18" ht="12.75">
      <c r="G289" s="58"/>
      <c r="J289" s="58"/>
      <c r="K289" s="58"/>
      <c r="L289" s="58"/>
      <c r="M289" s="62"/>
      <c r="N289" s="62"/>
      <c r="O289" s="62"/>
      <c r="P289" s="62"/>
      <c r="R289" s="62"/>
    </row>
    <row r="290" spans="7:18" ht="12.75">
      <c r="G290" s="58"/>
      <c r="J290" s="58"/>
      <c r="K290" s="58"/>
      <c r="L290" s="58"/>
      <c r="M290" s="62"/>
      <c r="N290" s="62"/>
      <c r="O290" s="62"/>
      <c r="P290" s="62"/>
      <c r="R290" s="62"/>
    </row>
    <row r="291" spans="7:18" ht="12.75">
      <c r="G291" s="58"/>
      <c r="J291" s="58"/>
      <c r="K291" s="58"/>
      <c r="L291" s="58"/>
      <c r="M291" s="62"/>
      <c r="N291" s="62"/>
      <c r="O291" s="62"/>
      <c r="P291" s="62"/>
      <c r="R291" s="62"/>
    </row>
    <row r="292" spans="7:18" ht="12.75">
      <c r="G292" s="58"/>
      <c r="J292" s="58"/>
      <c r="K292" s="58"/>
      <c r="L292" s="58"/>
      <c r="M292" s="62"/>
      <c r="N292" s="62"/>
      <c r="O292" s="62"/>
      <c r="P292" s="62"/>
      <c r="R292" s="62"/>
    </row>
    <row r="293" spans="7:18" ht="12.75">
      <c r="G293" s="58"/>
      <c r="J293" s="58"/>
      <c r="K293" s="58"/>
      <c r="L293" s="58"/>
      <c r="M293" s="62"/>
      <c r="N293" s="62"/>
      <c r="O293" s="62"/>
      <c r="P293" s="62"/>
      <c r="R293" s="62"/>
    </row>
    <row r="294" spans="7:18" ht="12.75">
      <c r="G294" s="58"/>
      <c r="J294" s="58"/>
      <c r="K294" s="58"/>
      <c r="L294" s="58"/>
      <c r="M294" s="62"/>
      <c r="N294" s="62"/>
      <c r="O294" s="62"/>
      <c r="P294" s="62"/>
      <c r="R294" s="62"/>
    </row>
    <row r="295" spans="7:18" ht="12.75">
      <c r="G295" s="58"/>
      <c r="J295" s="58"/>
      <c r="K295" s="58"/>
      <c r="L295" s="58"/>
      <c r="M295" s="62"/>
      <c r="N295" s="62"/>
      <c r="O295" s="62"/>
      <c r="P295" s="62"/>
      <c r="R295" s="62"/>
    </row>
    <row r="296" spans="7:18" ht="12.75">
      <c r="G296" s="58"/>
      <c r="J296" s="58"/>
      <c r="K296" s="58"/>
      <c r="L296" s="58"/>
      <c r="M296" s="62"/>
      <c r="N296" s="62"/>
      <c r="O296" s="62"/>
      <c r="P296" s="62"/>
      <c r="R296" s="62"/>
    </row>
    <row r="297" spans="7:18" ht="12.75">
      <c r="G297" s="58"/>
      <c r="J297" s="58"/>
      <c r="K297" s="58"/>
      <c r="L297" s="58"/>
      <c r="M297" s="62"/>
      <c r="N297" s="62"/>
      <c r="O297" s="62"/>
      <c r="P297" s="62"/>
      <c r="R297" s="62"/>
    </row>
    <row r="298" spans="7:18" ht="12.75">
      <c r="G298" s="58"/>
      <c r="J298" s="58"/>
      <c r="K298" s="58"/>
      <c r="L298" s="58"/>
      <c r="M298" s="62"/>
      <c r="N298" s="62"/>
      <c r="O298" s="62"/>
      <c r="P298" s="62"/>
      <c r="R298" s="62"/>
    </row>
    <row r="299" spans="7:18" ht="12.75">
      <c r="G299" s="58"/>
      <c r="J299" s="58"/>
      <c r="K299" s="58"/>
      <c r="L299" s="58"/>
      <c r="M299" s="62"/>
      <c r="N299" s="62"/>
      <c r="O299" s="62"/>
      <c r="P299" s="62"/>
      <c r="R299" s="62"/>
    </row>
    <row r="300" spans="7:18" ht="12.75">
      <c r="G300" s="58"/>
      <c r="J300" s="58"/>
      <c r="K300" s="58"/>
      <c r="L300" s="58"/>
      <c r="M300" s="62"/>
      <c r="N300" s="62"/>
      <c r="O300" s="62"/>
      <c r="P300" s="62"/>
      <c r="R300" s="62"/>
    </row>
    <row r="301" spans="7:18" ht="12.75">
      <c r="G301" s="58"/>
      <c r="J301" s="58"/>
      <c r="K301" s="58"/>
      <c r="L301" s="58"/>
      <c r="M301" s="62"/>
      <c r="N301" s="62"/>
      <c r="O301" s="62"/>
      <c r="P301" s="62"/>
      <c r="R301" s="62"/>
    </row>
    <row r="302" spans="7:18" ht="12.75">
      <c r="G302" s="58"/>
      <c r="J302" s="58"/>
      <c r="K302" s="58"/>
      <c r="L302" s="58"/>
      <c r="M302" s="62"/>
      <c r="N302" s="62"/>
      <c r="O302" s="62"/>
      <c r="P302" s="62"/>
      <c r="R302" s="62"/>
    </row>
    <row r="303" spans="7:18" ht="12.75">
      <c r="G303" s="58"/>
      <c r="J303" s="58"/>
      <c r="K303" s="58"/>
      <c r="L303" s="58"/>
      <c r="M303" s="62"/>
      <c r="N303" s="62"/>
      <c r="O303" s="62"/>
      <c r="P303" s="62"/>
      <c r="R303" s="62"/>
    </row>
    <row r="304" spans="7:18" ht="12.75">
      <c r="G304" s="58"/>
      <c r="J304" s="58"/>
      <c r="K304" s="58"/>
      <c r="L304" s="58"/>
      <c r="M304" s="62"/>
      <c r="N304" s="62"/>
      <c r="O304" s="62"/>
      <c r="P304" s="62"/>
      <c r="R304" s="62"/>
    </row>
    <row r="305" spans="7:18" ht="12.75">
      <c r="G305" s="58"/>
      <c r="J305" s="58"/>
      <c r="K305" s="58"/>
      <c r="L305" s="58"/>
      <c r="M305" s="62"/>
      <c r="N305" s="62"/>
      <c r="O305" s="62"/>
      <c r="P305" s="62"/>
      <c r="R305" s="62"/>
    </row>
    <row r="306" spans="7:18" ht="12.75">
      <c r="G306" s="58"/>
      <c r="J306" s="58"/>
      <c r="K306" s="58"/>
      <c r="L306" s="58"/>
      <c r="M306" s="62"/>
      <c r="N306" s="62"/>
      <c r="O306" s="62"/>
      <c r="P306" s="62"/>
      <c r="R306" s="62"/>
    </row>
    <row r="307" spans="7:18" ht="12.75">
      <c r="G307" s="58"/>
      <c r="J307" s="58"/>
      <c r="K307" s="58"/>
      <c r="L307" s="58"/>
      <c r="M307" s="62"/>
      <c r="N307" s="62"/>
      <c r="O307" s="62"/>
      <c r="P307" s="62"/>
      <c r="R307" s="62"/>
    </row>
    <row r="308" spans="7:18" ht="12.75">
      <c r="G308" s="58"/>
      <c r="J308" s="58"/>
      <c r="K308" s="58"/>
      <c r="L308" s="58"/>
      <c r="M308" s="62"/>
      <c r="N308" s="62"/>
      <c r="O308" s="62"/>
      <c r="P308" s="62"/>
      <c r="R308" s="62"/>
    </row>
    <row r="309" spans="7:18" ht="12.75">
      <c r="G309" s="58"/>
      <c r="J309" s="58"/>
      <c r="K309" s="58"/>
      <c r="L309" s="58"/>
      <c r="M309" s="62"/>
      <c r="N309" s="62"/>
      <c r="O309" s="62"/>
      <c r="P309" s="62"/>
      <c r="R309" s="62"/>
    </row>
    <row r="310" spans="7:18" ht="12.75">
      <c r="G310" s="58"/>
      <c r="J310" s="58"/>
      <c r="K310" s="58"/>
      <c r="L310" s="58"/>
      <c r="M310" s="62"/>
      <c r="N310" s="62"/>
      <c r="O310" s="62"/>
      <c r="P310" s="62"/>
      <c r="R310" s="62"/>
    </row>
    <row r="311" spans="7:18" ht="12.75">
      <c r="G311" s="58"/>
      <c r="J311" s="58"/>
      <c r="K311" s="58"/>
      <c r="L311" s="58"/>
      <c r="M311" s="62"/>
      <c r="N311" s="62"/>
      <c r="O311" s="62"/>
      <c r="P311" s="62"/>
      <c r="R311" s="62"/>
    </row>
    <row r="312" spans="7:18" ht="12.75">
      <c r="G312" s="58"/>
      <c r="J312" s="58"/>
      <c r="K312" s="58"/>
      <c r="L312" s="58"/>
      <c r="M312" s="62"/>
      <c r="N312" s="62"/>
      <c r="O312" s="62"/>
      <c r="P312" s="62"/>
      <c r="R312" s="62"/>
    </row>
    <row r="313" spans="7:18" ht="12.75">
      <c r="G313" s="58"/>
      <c r="J313" s="58"/>
      <c r="K313" s="58"/>
      <c r="L313" s="58"/>
      <c r="M313" s="62"/>
      <c r="N313" s="62"/>
      <c r="O313" s="62"/>
      <c r="P313" s="62"/>
      <c r="R313" s="62"/>
    </row>
    <row r="314" spans="7:18" ht="12.75">
      <c r="G314" s="58"/>
      <c r="J314" s="58"/>
      <c r="K314" s="58"/>
      <c r="L314" s="58"/>
      <c r="M314" s="62"/>
      <c r="N314" s="62"/>
      <c r="O314" s="62"/>
      <c r="P314" s="62"/>
      <c r="R314" s="62"/>
    </row>
    <row r="315" spans="7:18" ht="12.75">
      <c r="G315" s="58"/>
      <c r="J315" s="58"/>
      <c r="K315" s="58"/>
      <c r="L315" s="58"/>
      <c r="M315" s="62"/>
      <c r="N315" s="62"/>
      <c r="O315" s="62"/>
      <c r="P315" s="62"/>
      <c r="R315" s="62"/>
    </row>
    <row r="316" spans="7:18" ht="12.75">
      <c r="G316" s="58"/>
      <c r="J316" s="58"/>
      <c r="K316" s="58"/>
      <c r="L316" s="58"/>
      <c r="M316" s="62"/>
      <c r="N316" s="62"/>
      <c r="O316" s="62"/>
      <c r="P316" s="62"/>
      <c r="R316" s="62"/>
    </row>
    <row r="317" spans="7:18" ht="12.75">
      <c r="G317" s="58"/>
      <c r="J317" s="58"/>
      <c r="K317" s="58"/>
      <c r="L317" s="58"/>
      <c r="M317" s="62"/>
      <c r="N317" s="62"/>
      <c r="O317" s="62"/>
      <c r="P317" s="62"/>
      <c r="R317" s="62"/>
    </row>
    <row r="318" spans="7:18" ht="12.75">
      <c r="G318" s="58"/>
      <c r="J318" s="58"/>
      <c r="K318" s="58"/>
      <c r="L318" s="58"/>
      <c r="M318" s="62"/>
      <c r="N318" s="62"/>
      <c r="O318" s="62"/>
      <c r="P318" s="62"/>
      <c r="R318" s="62"/>
    </row>
    <row r="319" spans="7:18" ht="12.75">
      <c r="G319" s="58"/>
      <c r="J319" s="58"/>
      <c r="K319" s="58"/>
      <c r="L319" s="58"/>
      <c r="M319" s="62"/>
      <c r="N319" s="62"/>
      <c r="O319" s="62"/>
      <c r="P319" s="62"/>
      <c r="R319" s="62"/>
    </row>
    <row r="320" spans="7:18" ht="12.75">
      <c r="G320" s="58"/>
      <c r="J320" s="58"/>
      <c r="K320" s="58"/>
      <c r="L320" s="58"/>
      <c r="M320" s="62"/>
      <c r="N320" s="62"/>
      <c r="O320" s="62"/>
      <c r="P320" s="62"/>
      <c r="R320" s="62"/>
    </row>
    <row r="321" spans="7:18" ht="12.75">
      <c r="G321" s="58"/>
      <c r="J321" s="58"/>
      <c r="K321" s="58"/>
      <c r="L321" s="58"/>
      <c r="M321" s="62"/>
      <c r="N321" s="62"/>
      <c r="O321" s="62"/>
      <c r="P321" s="62"/>
      <c r="R321" s="62"/>
    </row>
    <row r="322" spans="7:18" ht="12.75">
      <c r="G322" s="58"/>
      <c r="J322" s="58"/>
      <c r="K322" s="58"/>
      <c r="L322" s="58"/>
      <c r="M322" s="62"/>
      <c r="N322" s="62"/>
      <c r="O322" s="62"/>
      <c r="P322" s="62"/>
      <c r="R322" s="62"/>
    </row>
    <row r="323" spans="7:18" ht="12.75">
      <c r="G323" s="58"/>
      <c r="J323" s="58"/>
      <c r="K323" s="58"/>
      <c r="L323" s="58"/>
      <c r="M323" s="62"/>
      <c r="N323" s="62"/>
      <c r="O323" s="62"/>
      <c r="P323" s="62"/>
      <c r="R323" s="62"/>
    </row>
    <row r="324" spans="7:18" ht="12.75">
      <c r="G324" s="58"/>
      <c r="J324" s="58"/>
      <c r="K324" s="58"/>
      <c r="L324" s="58"/>
      <c r="M324" s="62"/>
      <c r="N324" s="62"/>
      <c r="O324" s="62"/>
      <c r="P324" s="62"/>
      <c r="R324" s="62"/>
    </row>
    <row r="325" spans="7:18" ht="12.75">
      <c r="G325" s="58"/>
      <c r="J325" s="58"/>
      <c r="K325" s="58"/>
      <c r="L325" s="58"/>
      <c r="M325" s="62"/>
      <c r="N325" s="62"/>
      <c r="O325" s="62"/>
      <c r="P325" s="62"/>
      <c r="R325" s="62"/>
    </row>
    <row r="326" spans="7:18" ht="12.75">
      <c r="G326" s="58"/>
      <c r="J326" s="58"/>
      <c r="K326" s="58"/>
      <c r="L326" s="58"/>
      <c r="M326" s="62"/>
      <c r="N326" s="62"/>
      <c r="O326" s="62"/>
      <c r="P326" s="62"/>
      <c r="R326" s="62"/>
    </row>
    <row r="327" spans="7:18" ht="12.75">
      <c r="G327" s="58"/>
      <c r="J327" s="58"/>
      <c r="K327" s="58"/>
      <c r="L327" s="58"/>
      <c r="M327" s="62"/>
      <c r="N327" s="62"/>
      <c r="O327" s="62"/>
      <c r="P327" s="62"/>
      <c r="R327" s="62"/>
    </row>
    <row r="328" spans="7:18" ht="12.75">
      <c r="G328" s="58"/>
      <c r="J328" s="58"/>
      <c r="K328" s="58"/>
      <c r="L328" s="58"/>
      <c r="M328" s="62"/>
      <c r="N328" s="62"/>
      <c r="O328" s="62"/>
      <c r="P328" s="62"/>
      <c r="R328" s="62"/>
    </row>
    <row r="329" spans="7:18" ht="12.75">
      <c r="G329" s="58"/>
      <c r="J329" s="58"/>
      <c r="K329" s="58"/>
      <c r="L329" s="58"/>
      <c r="M329" s="62"/>
      <c r="N329" s="62"/>
      <c r="O329" s="62"/>
      <c r="P329" s="62"/>
      <c r="R329" s="62"/>
    </row>
    <row r="330" spans="7:18" ht="12.75">
      <c r="G330" s="58"/>
      <c r="J330" s="58"/>
      <c r="K330" s="58"/>
      <c r="L330" s="58"/>
      <c r="M330" s="62"/>
      <c r="N330" s="62"/>
      <c r="O330" s="62"/>
      <c r="P330" s="62"/>
      <c r="R330" s="62"/>
    </row>
    <row r="331" spans="7:18" ht="12.75">
      <c r="G331" s="58"/>
      <c r="J331" s="58"/>
      <c r="K331" s="58"/>
      <c r="L331" s="58"/>
      <c r="M331" s="62"/>
      <c r="N331" s="62"/>
      <c r="O331" s="62"/>
      <c r="P331" s="62"/>
      <c r="R331" s="62"/>
    </row>
    <row r="332" spans="7:18" ht="12.75">
      <c r="G332" s="58"/>
      <c r="J332" s="58"/>
      <c r="K332" s="58"/>
      <c r="L332" s="58"/>
      <c r="M332" s="62"/>
      <c r="N332" s="62"/>
      <c r="O332" s="62"/>
      <c r="P332" s="62"/>
      <c r="R332" s="62"/>
    </row>
    <row r="333" spans="7:18" ht="12.75">
      <c r="G333" s="58"/>
      <c r="J333" s="58"/>
      <c r="K333" s="58"/>
      <c r="L333" s="58"/>
      <c r="M333" s="62"/>
      <c r="N333" s="62"/>
      <c r="O333" s="62"/>
      <c r="P333" s="62"/>
      <c r="R333" s="62"/>
    </row>
    <row r="334" spans="7:18" ht="12.75">
      <c r="G334" s="58"/>
      <c r="J334" s="58"/>
      <c r="K334" s="58"/>
      <c r="L334" s="58"/>
      <c r="M334" s="62"/>
      <c r="N334" s="62"/>
      <c r="O334" s="62"/>
      <c r="P334" s="62"/>
      <c r="R334" s="62"/>
    </row>
    <row r="335" spans="7:18" ht="12.75">
      <c r="G335" s="58"/>
      <c r="J335" s="58"/>
      <c r="K335" s="58"/>
      <c r="L335" s="58"/>
      <c r="M335" s="62"/>
      <c r="N335" s="62"/>
      <c r="O335" s="62"/>
      <c r="P335" s="62"/>
      <c r="R335" s="62"/>
    </row>
    <row r="336" spans="7:18" ht="12.75">
      <c r="G336" s="58"/>
      <c r="J336" s="58"/>
      <c r="K336" s="58"/>
      <c r="L336" s="58"/>
      <c r="M336" s="62"/>
      <c r="N336" s="62"/>
      <c r="O336" s="62"/>
      <c r="P336" s="62"/>
      <c r="R336" s="62"/>
    </row>
    <row r="337" spans="7:18" ht="12.75">
      <c r="G337" s="58"/>
      <c r="J337" s="58"/>
      <c r="K337" s="58"/>
      <c r="L337" s="58"/>
      <c r="M337" s="62"/>
      <c r="N337" s="62"/>
      <c r="O337" s="62"/>
      <c r="P337" s="62"/>
      <c r="R337" s="62"/>
    </row>
    <row r="338" spans="7:18" ht="12.75">
      <c r="G338" s="58"/>
      <c r="J338" s="58"/>
      <c r="K338" s="58"/>
      <c r="L338" s="58"/>
      <c r="M338" s="62"/>
      <c r="N338" s="62"/>
      <c r="O338" s="62"/>
      <c r="P338" s="62"/>
      <c r="R338" s="62"/>
    </row>
    <row r="339" spans="7:18" ht="12.75">
      <c r="G339" s="58"/>
      <c r="J339" s="58"/>
      <c r="K339" s="58"/>
      <c r="L339" s="58"/>
      <c r="M339" s="62"/>
      <c r="N339" s="62"/>
      <c r="O339" s="62"/>
      <c r="P339" s="62"/>
      <c r="R339" s="62"/>
    </row>
    <row r="340" spans="7:18" ht="12.75">
      <c r="G340" s="58"/>
      <c r="J340" s="58"/>
      <c r="K340" s="58"/>
      <c r="L340" s="58"/>
      <c r="M340" s="62"/>
      <c r="N340" s="62"/>
      <c r="O340" s="62"/>
      <c r="P340" s="62"/>
      <c r="R340" s="62"/>
    </row>
    <row r="341" spans="7:18" ht="12.75">
      <c r="G341" s="58"/>
      <c r="J341" s="58"/>
      <c r="K341" s="58"/>
      <c r="L341" s="58"/>
      <c r="M341" s="62"/>
      <c r="N341" s="62"/>
      <c r="O341" s="62"/>
      <c r="P341" s="62"/>
      <c r="R341" s="62"/>
    </row>
    <row r="342" spans="7:18" ht="12.75">
      <c r="G342" s="58"/>
      <c r="J342" s="58"/>
      <c r="K342" s="58"/>
      <c r="L342" s="58"/>
      <c r="M342" s="62"/>
      <c r="N342" s="62"/>
      <c r="O342" s="62"/>
      <c r="P342" s="62"/>
      <c r="R342" s="62"/>
    </row>
    <row r="343" spans="7:18" ht="12.75">
      <c r="G343" s="58"/>
      <c r="J343" s="58"/>
      <c r="K343" s="58"/>
      <c r="L343" s="58"/>
      <c r="M343" s="62"/>
      <c r="N343" s="62"/>
      <c r="O343" s="62"/>
      <c r="P343" s="62"/>
      <c r="R343" s="62"/>
    </row>
    <row r="344" spans="7:18" ht="12.75">
      <c r="G344" s="58"/>
      <c r="J344" s="58"/>
      <c r="K344" s="58"/>
      <c r="L344" s="58"/>
      <c r="M344" s="62"/>
      <c r="N344" s="62"/>
      <c r="O344" s="62"/>
      <c r="P344" s="62"/>
      <c r="R344" s="62"/>
    </row>
    <row r="345" spans="7:18" ht="12.75">
      <c r="G345" s="58"/>
      <c r="J345" s="58"/>
      <c r="K345" s="58"/>
      <c r="L345" s="58"/>
      <c r="M345" s="62"/>
      <c r="N345" s="62"/>
      <c r="O345" s="62"/>
      <c r="P345" s="62"/>
      <c r="R345" s="62"/>
    </row>
    <row r="346" spans="7:18" ht="12.75">
      <c r="G346" s="58"/>
      <c r="J346" s="58"/>
      <c r="K346" s="58"/>
      <c r="L346" s="58"/>
      <c r="M346" s="62"/>
      <c r="N346" s="62"/>
      <c r="O346" s="62"/>
      <c r="P346" s="62"/>
      <c r="R346" s="62"/>
    </row>
    <row r="347" spans="7:18" ht="12.75">
      <c r="G347" s="58"/>
      <c r="J347" s="58"/>
      <c r="K347" s="58"/>
      <c r="L347" s="58"/>
      <c r="M347" s="62"/>
      <c r="N347" s="62"/>
      <c r="O347" s="62"/>
      <c r="P347" s="62"/>
      <c r="R347" s="62"/>
    </row>
    <row r="348" spans="7:18" ht="12.75">
      <c r="G348" s="58"/>
      <c r="J348" s="58"/>
      <c r="K348" s="58"/>
      <c r="L348" s="58"/>
      <c r="M348" s="62"/>
      <c r="N348" s="62"/>
      <c r="O348" s="62"/>
      <c r="P348" s="62"/>
      <c r="R348" s="62"/>
    </row>
    <row r="349" spans="7:18" ht="12.75">
      <c r="G349" s="58"/>
      <c r="J349" s="58"/>
      <c r="K349" s="58"/>
      <c r="L349" s="58"/>
      <c r="M349" s="62"/>
      <c r="N349" s="62"/>
      <c r="O349" s="62"/>
      <c r="P349" s="62"/>
      <c r="R349" s="62"/>
    </row>
    <row r="350" spans="7:18" ht="12.75">
      <c r="G350" s="58"/>
      <c r="J350" s="58"/>
      <c r="K350" s="58"/>
      <c r="L350" s="58"/>
      <c r="M350" s="62"/>
      <c r="N350" s="62"/>
      <c r="O350" s="62"/>
      <c r="P350" s="62"/>
      <c r="R350" s="62"/>
    </row>
    <row r="351" spans="7:18" ht="12.75">
      <c r="G351" s="58"/>
      <c r="J351" s="58"/>
      <c r="K351" s="58"/>
      <c r="L351" s="58"/>
      <c r="M351" s="62"/>
      <c r="N351" s="62"/>
      <c r="O351" s="62"/>
      <c r="P351" s="62"/>
      <c r="R351" s="62"/>
    </row>
    <row r="352" spans="7:18" ht="12.75">
      <c r="G352" s="58"/>
      <c r="J352" s="58"/>
      <c r="K352" s="58"/>
      <c r="L352" s="58"/>
      <c r="M352" s="62"/>
      <c r="N352" s="62"/>
      <c r="O352" s="62"/>
      <c r="P352" s="62"/>
      <c r="R352" s="62"/>
    </row>
    <row r="353" spans="7:18" ht="12.75">
      <c r="G353" s="58"/>
      <c r="J353" s="58"/>
      <c r="K353" s="58"/>
      <c r="L353" s="58"/>
      <c r="M353" s="62"/>
      <c r="N353" s="62"/>
      <c r="O353" s="62"/>
      <c r="P353" s="62"/>
      <c r="R353" s="62"/>
    </row>
    <row r="354" spans="7:18" ht="12.75">
      <c r="G354" s="58"/>
      <c r="J354" s="58"/>
      <c r="K354" s="58"/>
      <c r="L354" s="58"/>
      <c r="M354" s="62"/>
      <c r="N354" s="62"/>
      <c r="O354" s="62"/>
      <c r="P354" s="62"/>
      <c r="R354" s="62"/>
    </row>
    <row r="355" spans="7:18" ht="12.75">
      <c r="G355" s="58"/>
      <c r="J355" s="58"/>
      <c r="K355" s="58"/>
      <c r="L355" s="58"/>
      <c r="M355" s="62"/>
      <c r="N355" s="62"/>
      <c r="O355" s="62"/>
      <c r="P355" s="62"/>
      <c r="R355" s="62"/>
    </row>
    <row r="356" spans="7:18" ht="12.75">
      <c r="G356" s="58"/>
      <c r="J356" s="58"/>
      <c r="K356" s="58"/>
      <c r="L356" s="58"/>
      <c r="M356" s="62"/>
      <c r="N356" s="62"/>
      <c r="O356" s="62"/>
      <c r="P356" s="62"/>
      <c r="R356" s="62"/>
    </row>
    <row r="357" spans="7:18" ht="12.75">
      <c r="G357" s="58"/>
      <c r="J357" s="58"/>
      <c r="K357" s="58"/>
      <c r="L357" s="58"/>
      <c r="M357" s="62"/>
      <c r="N357" s="62"/>
      <c r="O357" s="62"/>
      <c r="P357" s="62"/>
      <c r="R357" s="62"/>
    </row>
    <row r="358" spans="7:18" ht="12.75">
      <c r="G358" s="58"/>
      <c r="J358" s="58"/>
      <c r="K358" s="58"/>
      <c r="L358" s="58"/>
      <c r="M358" s="62"/>
      <c r="N358" s="62"/>
      <c r="O358" s="62"/>
      <c r="P358" s="62"/>
      <c r="R358" s="62"/>
    </row>
    <row r="359" spans="7:18" ht="12.75">
      <c r="G359" s="58"/>
      <c r="J359" s="58"/>
      <c r="K359" s="58"/>
      <c r="L359" s="58"/>
      <c r="M359" s="62"/>
      <c r="N359" s="62"/>
      <c r="O359" s="62"/>
      <c r="P359" s="62"/>
      <c r="R359" s="62"/>
    </row>
    <row r="360" spans="7:18" ht="12.75">
      <c r="G360" s="58"/>
      <c r="J360" s="58"/>
      <c r="K360" s="58"/>
      <c r="L360" s="58"/>
      <c r="M360" s="62"/>
      <c r="N360" s="62"/>
      <c r="O360" s="62"/>
      <c r="P360" s="62"/>
      <c r="R360" s="62"/>
    </row>
    <row r="361" spans="7:18" ht="12.75">
      <c r="G361" s="58"/>
      <c r="J361" s="58"/>
      <c r="K361" s="58"/>
      <c r="L361" s="58"/>
      <c r="M361" s="62"/>
      <c r="N361" s="62"/>
      <c r="O361" s="62"/>
      <c r="P361" s="62"/>
      <c r="R361" s="62"/>
    </row>
    <row r="362" spans="7:18" ht="12.75">
      <c r="G362" s="58"/>
      <c r="J362" s="58"/>
      <c r="K362" s="58"/>
      <c r="L362" s="58"/>
      <c r="M362" s="62"/>
      <c r="N362" s="62"/>
      <c r="O362" s="62"/>
      <c r="P362" s="62"/>
      <c r="R362" s="62"/>
    </row>
    <row r="363" spans="7:18" ht="12.75">
      <c r="G363" s="58"/>
      <c r="J363" s="58"/>
      <c r="K363" s="58"/>
      <c r="L363" s="58"/>
      <c r="M363" s="62"/>
      <c r="N363" s="62"/>
      <c r="O363" s="62"/>
      <c r="P363" s="62"/>
      <c r="R363" s="62"/>
    </row>
    <row r="364" spans="7:18" ht="12.75">
      <c r="G364" s="58"/>
      <c r="J364" s="58"/>
      <c r="K364" s="58"/>
      <c r="L364" s="58"/>
      <c r="M364" s="62"/>
      <c r="N364" s="62"/>
      <c r="O364" s="62"/>
      <c r="P364" s="62"/>
      <c r="R364" s="62"/>
    </row>
    <row r="365" spans="7:18" ht="12.75">
      <c r="G365" s="58"/>
      <c r="J365" s="58"/>
      <c r="K365" s="58"/>
      <c r="L365" s="58"/>
      <c r="M365" s="62"/>
      <c r="N365" s="62"/>
      <c r="O365" s="62"/>
      <c r="P365" s="62"/>
      <c r="R365" s="62"/>
    </row>
    <row r="366" spans="7:18" ht="12.75">
      <c r="G366" s="58"/>
      <c r="J366" s="58"/>
      <c r="K366" s="58"/>
      <c r="L366" s="58"/>
      <c r="M366" s="62"/>
      <c r="N366" s="62"/>
      <c r="O366" s="62"/>
      <c r="P366" s="62"/>
      <c r="R366" s="62"/>
    </row>
    <row r="367" spans="7:18" ht="12.75">
      <c r="G367" s="58"/>
      <c r="J367" s="58"/>
      <c r="K367" s="58"/>
      <c r="L367" s="58"/>
      <c r="M367" s="62"/>
      <c r="N367" s="62"/>
      <c r="O367" s="62"/>
      <c r="P367" s="62"/>
      <c r="R367" s="62"/>
    </row>
    <row r="368" spans="7:18" ht="12.75">
      <c r="G368" s="58"/>
      <c r="J368" s="58"/>
      <c r="K368" s="58"/>
      <c r="L368" s="58"/>
      <c r="M368" s="62"/>
      <c r="N368" s="62"/>
      <c r="O368" s="62"/>
      <c r="P368" s="62"/>
      <c r="R368" s="62"/>
    </row>
    <row r="369" spans="7:18" ht="12.75">
      <c r="G369" s="58"/>
      <c r="J369" s="58"/>
      <c r="K369" s="58"/>
      <c r="L369" s="58"/>
      <c r="M369" s="62"/>
      <c r="N369" s="62"/>
      <c r="O369" s="62"/>
      <c r="P369" s="62"/>
      <c r="R369" s="62"/>
    </row>
    <row r="370" spans="7:18" ht="12.75">
      <c r="G370" s="58"/>
      <c r="J370" s="58"/>
      <c r="K370" s="58"/>
      <c r="L370" s="58"/>
      <c r="M370" s="62"/>
      <c r="N370" s="62"/>
      <c r="O370" s="62"/>
      <c r="P370" s="62"/>
      <c r="R370" s="62"/>
    </row>
    <row r="371" spans="7:18" ht="12.75">
      <c r="G371" s="58"/>
      <c r="J371" s="58"/>
      <c r="K371" s="58"/>
      <c r="L371" s="58"/>
      <c r="M371" s="62"/>
      <c r="N371" s="62"/>
      <c r="O371" s="62"/>
      <c r="P371" s="62"/>
      <c r="R371" s="62"/>
    </row>
    <row r="372" spans="7:18" ht="12.75">
      <c r="G372" s="58"/>
      <c r="J372" s="58"/>
      <c r="K372" s="58"/>
      <c r="L372" s="58"/>
      <c r="M372" s="62"/>
      <c r="N372" s="62"/>
      <c r="O372" s="62"/>
      <c r="P372" s="62"/>
      <c r="R372" s="62"/>
    </row>
    <row r="373" spans="7:18" ht="12.75">
      <c r="G373" s="58"/>
      <c r="J373" s="58"/>
      <c r="K373" s="58"/>
      <c r="L373" s="58"/>
      <c r="M373" s="62"/>
      <c r="N373" s="62"/>
      <c r="O373" s="62"/>
      <c r="P373" s="62"/>
      <c r="R373" s="62"/>
    </row>
    <row r="374" spans="7:18" ht="12.75">
      <c r="G374" s="58"/>
      <c r="J374" s="58"/>
      <c r="K374" s="58"/>
      <c r="L374" s="58"/>
      <c r="M374" s="62"/>
      <c r="N374" s="62"/>
      <c r="O374" s="62"/>
      <c r="P374" s="62"/>
      <c r="R374" s="62"/>
    </row>
    <row r="375" spans="7:18" ht="12.75">
      <c r="G375" s="58"/>
      <c r="J375" s="58"/>
      <c r="K375" s="58"/>
      <c r="L375" s="58"/>
      <c r="M375" s="62"/>
      <c r="N375" s="62"/>
      <c r="O375" s="62"/>
      <c r="P375" s="62"/>
      <c r="R375" s="62"/>
    </row>
    <row r="376" spans="7:18" ht="12.75">
      <c r="G376" s="58"/>
      <c r="J376" s="58"/>
      <c r="K376" s="58"/>
      <c r="L376" s="58"/>
      <c r="M376" s="62"/>
      <c r="N376" s="62"/>
      <c r="O376" s="62"/>
      <c r="P376" s="62"/>
      <c r="R376" s="62"/>
    </row>
    <row r="377" spans="7:18" ht="12.75">
      <c r="G377" s="58"/>
      <c r="J377" s="58"/>
      <c r="K377" s="58"/>
      <c r="L377" s="58"/>
      <c r="M377" s="62"/>
      <c r="N377" s="62"/>
      <c r="O377" s="62"/>
      <c r="P377" s="62"/>
      <c r="R377" s="62"/>
    </row>
    <row r="378" spans="7:18" ht="12.75">
      <c r="G378" s="58"/>
      <c r="J378" s="58"/>
      <c r="K378" s="58"/>
      <c r="L378" s="58"/>
      <c r="M378" s="62"/>
      <c r="N378" s="62"/>
      <c r="O378" s="62"/>
      <c r="P378" s="62"/>
      <c r="R378" s="62"/>
    </row>
    <row r="379" spans="7:18" ht="12.75">
      <c r="G379" s="58"/>
      <c r="J379" s="58"/>
      <c r="K379" s="58"/>
      <c r="L379" s="58"/>
      <c r="M379" s="62"/>
      <c r="N379" s="62"/>
      <c r="O379" s="62"/>
      <c r="P379" s="62"/>
      <c r="R379" s="62"/>
    </row>
    <row r="380" spans="7:18" ht="12.75">
      <c r="G380" s="58"/>
      <c r="J380" s="58"/>
      <c r="K380" s="58"/>
      <c r="L380" s="58"/>
      <c r="M380" s="62"/>
      <c r="N380" s="62"/>
      <c r="O380" s="62"/>
      <c r="P380" s="62"/>
      <c r="R380" s="62"/>
    </row>
    <row r="381" spans="7:18" ht="12.75">
      <c r="G381" s="58"/>
      <c r="J381" s="58"/>
      <c r="K381" s="58"/>
      <c r="L381" s="58"/>
      <c r="M381" s="62"/>
      <c r="N381" s="62"/>
      <c r="O381" s="62"/>
      <c r="P381" s="62"/>
      <c r="R381" s="62"/>
    </row>
    <row r="382" spans="7:18" ht="12.75">
      <c r="G382" s="58"/>
      <c r="J382" s="58"/>
      <c r="K382" s="58"/>
      <c r="L382" s="58"/>
      <c r="M382" s="62"/>
      <c r="N382" s="62"/>
      <c r="O382" s="62"/>
      <c r="P382" s="62"/>
      <c r="R382" s="62"/>
    </row>
    <row r="383" spans="7:18" ht="12.75">
      <c r="G383" s="58"/>
      <c r="J383" s="58"/>
      <c r="K383" s="58"/>
      <c r="L383" s="58"/>
      <c r="M383" s="62"/>
      <c r="N383" s="62"/>
      <c r="O383" s="62"/>
      <c r="P383" s="62"/>
      <c r="R383" s="62"/>
    </row>
    <row r="384" spans="7:18" ht="12.75">
      <c r="G384" s="58"/>
      <c r="J384" s="58"/>
      <c r="K384" s="58"/>
      <c r="L384" s="58"/>
      <c r="M384" s="62"/>
      <c r="N384" s="62"/>
      <c r="O384" s="62"/>
      <c r="P384" s="62"/>
      <c r="R384" s="62"/>
    </row>
    <row r="385" spans="7:18" ht="12.75">
      <c r="G385" s="58"/>
      <c r="J385" s="58"/>
      <c r="K385" s="58"/>
      <c r="L385" s="58"/>
      <c r="M385" s="62"/>
      <c r="N385" s="62"/>
      <c r="O385" s="62"/>
      <c r="P385" s="62"/>
      <c r="R385" s="62"/>
    </row>
    <row r="386" spans="7:18" ht="12.75">
      <c r="G386" s="58"/>
      <c r="J386" s="58"/>
      <c r="K386" s="58"/>
      <c r="L386" s="58"/>
      <c r="M386" s="62"/>
      <c r="N386" s="62"/>
      <c r="O386" s="62"/>
      <c r="P386" s="62"/>
      <c r="R386" s="62"/>
    </row>
    <row r="387" spans="7:18" ht="12.75">
      <c r="G387" s="58"/>
      <c r="J387" s="58"/>
      <c r="K387" s="58"/>
      <c r="L387" s="58"/>
      <c r="M387" s="62"/>
      <c r="N387" s="62"/>
      <c r="O387" s="62"/>
      <c r="P387" s="62"/>
      <c r="R387" s="62"/>
    </row>
    <row r="388" spans="7:18" ht="12.75">
      <c r="G388" s="58"/>
      <c r="J388" s="58"/>
      <c r="K388" s="58"/>
      <c r="L388" s="58"/>
      <c r="M388" s="62"/>
      <c r="N388" s="62"/>
      <c r="O388" s="62"/>
      <c r="P388" s="62"/>
      <c r="R388" s="62"/>
    </row>
    <row r="389" spans="7:18" ht="12.75">
      <c r="G389" s="58"/>
      <c r="J389" s="58"/>
      <c r="K389" s="58"/>
      <c r="L389" s="58"/>
      <c r="M389" s="62"/>
      <c r="N389" s="62"/>
      <c r="O389" s="62"/>
      <c r="P389" s="62"/>
      <c r="R389" s="62"/>
    </row>
    <row r="390" spans="7:18" ht="12.75">
      <c r="G390" s="58"/>
      <c r="J390" s="58"/>
      <c r="K390" s="58"/>
      <c r="L390" s="58"/>
      <c r="M390" s="62"/>
      <c r="N390" s="62"/>
      <c r="O390" s="62"/>
      <c r="P390" s="62"/>
      <c r="R390" s="62"/>
    </row>
    <row r="391" spans="7:18" ht="12.75">
      <c r="G391" s="58"/>
      <c r="J391" s="58"/>
      <c r="K391" s="58"/>
      <c r="L391" s="58"/>
      <c r="M391" s="62"/>
      <c r="N391" s="62"/>
      <c r="O391" s="62"/>
      <c r="P391" s="62"/>
      <c r="R391" s="62"/>
    </row>
    <row r="392" spans="7:18" ht="12.75">
      <c r="G392" s="58"/>
      <c r="J392" s="58"/>
      <c r="K392" s="58"/>
      <c r="L392" s="58"/>
      <c r="M392" s="62"/>
      <c r="N392" s="62"/>
      <c r="O392" s="62"/>
      <c r="P392" s="62"/>
      <c r="R392" s="62"/>
    </row>
    <row r="393" spans="7:18" ht="12.75">
      <c r="G393" s="58"/>
      <c r="J393" s="58"/>
      <c r="K393" s="58"/>
      <c r="L393" s="58"/>
      <c r="M393" s="62"/>
      <c r="N393" s="62"/>
      <c r="O393" s="62"/>
      <c r="P393" s="62"/>
      <c r="R393" s="62"/>
    </row>
  </sheetData>
  <mergeCells count="26">
    <mergeCell ref="N3:O3"/>
    <mergeCell ref="K4:L4"/>
    <mergeCell ref="K6:L6"/>
    <mergeCell ref="A8:A11"/>
    <mergeCell ref="B8:B10"/>
    <mergeCell ref="C8:C10"/>
    <mergeCell ref="F8:F10"/>
    <mergeCell ref="G8:G10"/>
    <mergeCell ref="H8:H10"/>
    <mergeCell ref="I8:I10"/>
    <mergeCell ref="D8:D10"/>
    <mergeCell ref="E8:E10"/>
    <mergeCell ref="Z8:Z10"/>
    <mergeCell ref="AA8:AA10"/>
    <mergeCell ref="X9:X10"/>
    <mergeCell ref="Y9:Y10"/>
    <mergeCell ref="T10:U10"/>
    <mergeCell ref="N25:O25"/>
    <mergeCell ref="P8:Q10"/>
    <mergeCell ref="R8:S10"/>
    <mergeCell ref="J8:J10"/>
    <mergeCell ref="K8:K10"/>
    <mergeCell ref="L8:L10"/>
    <mergeCell ref="M8:M11"/>
    <mergeCell ref="N8:N11"/>
    <mergeCell ref="O8:O11"/>
  </mergeCells>
  <printOptions horizontalCentered="1"/>
  <pageMargins left="0.19685039370078741" right="0" top="0.19685039370078741" bottom="0.19685039370078741" header="0.51181102362204722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3:L1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3" sqref="F23"/>
    </sheetView>
  </sheetViews>
  <sheetFormatPr defaultRowHeight="12.75"/>
  <cols>
    <col min="1" max="1" width="33" style="117" customWidth="1"/>
    <col min="2" max="2" width="14.7109375" style="117" customWidth="1"/>
    <col min="3" max="3" width="14.85546875" style="117" customWidth="1"/>
    <col min="4" max="4" width="13.28515625" style="117" customWidth="1"/>
    <col min="5" max="5" width="18.140625" style="121" customWidth="1"/>
    <col min="6" max="7" width="14.7109375" style="121" customWidth="1"/>
    <col min="8" max="8" width="13.140625" style="117" customWidth="1"/>
    <col min="9" max="9" width="14.7109375" style="117" customWidth="1"/>
    <col min="10" max="10" width="15.140625" style="121" customWidth="1"/>
    <col min="11" max="11" width="13.85546875" style="117" customWidth="1"/>
    <col min="12" max="12" width="19" style="121" customWidth="1"/>
    <col min="13" max="16384" width="9.140625" style="117"/>
  </cols>
  <sheetData>
    <row r="3" spans="1:12">
      <c r="A3" s="239" t="s">
        <v>83</v>
      </c>
      <c r="B3" s="240" t="s">
        <v>84</v>
      </c>
      <c r="C3" s="241"/>
      <c r="D3" s="241"/>
      <c r="E3" s="242" t="s">
        <v>104</v>
      </c>
      <c r="F3" s="244" t="s">
        <v>97</v>
      </c>
      <c r="G3" s="244" t="s">
        <v>100</v>
      </c>
      <c r="H3" s="245" t="s">
        <v>98</v>
      </c>
      <c r="I3" s="245" t="s">
        <v>99</v>
      </c>
      <c r="J3" s="244" t="s">
        <v>131</v>
      </c>
      <c r="K3" s="240" t="s">
        <v>105</v>
      </c>
      <c r="L3" s="243" t="s">
        <v>106</v>
      </c>
    </row>
    <row r="4" spans="1:12" s="209" customFormat="1" ht="102.75" customHeight="1">
      <c r="A4" s="239"/>
      <c r="B4" s="207" t="s">
        <v>85</v>
      </c>
      <c r="C4" s="207" t="s">
        <v>86</v>
      </c>
      <c r="D4" s="207" t="s">
        <v>87</v>
      </c>
      <c r="E4" s="242"/>
      <c r="F4" s="244"/>
      <c r="G4" s="244"/>
      <c r="H4" s="245"/>
      <c r="I4" s="245"/>
      <c r="J4" s="244"/>
      <c r="K4" s="240"/>
      <c r="L4" s="243"/>
    </row>
    <row r="5" spans="1:12" s="209" customFormat="1">
      <c r="A5" s="210">
        <v>1</v>
      </c>
      <c r="B5" s="210">
        <v>2</v>
      </c>
      <c r="C5" s="210">
        <v>3</v>
      </c>
      <c r="D5" s="210">
        <v>4</v>
      </c>
      <c r="E5" s="211" t="s">
        <v>103</v>
      </c>
      <c r="F5" s="211" t="s">
        <v>102</v>
      </c>
      <c r="G5" s="212" t="s">
        <v>101</v>
      </c>
      <c r="H5" s="213">
        <v>8</v>
      </c>
      <c r="I5" s="213">
        <v>9</v>
      </c>
      <c r="J5" s="211" t="s">
        <v>132</v>
      </c>
      <c r="K5" s="213">
        <v>8</v>
      </c>
      <c r="L5" s="211">
        <v>9</v>
      </c>
    </row>
    <row r="6" spans="1:12" s="209" customFormat="1">
      <c r="A6" s="214" t="s">
        <v>88</v>
      </c>
      <c r="B6" s="120">
        <v>22540</v>
      </c>
      <c r="C6" s="120">
        <v>1453</v>
      </c>
      <c r="D6" s="120">
        <v>4807</v>
      </c>
      <c r="E6" s="122">
        <f>SUM(B6:D6)</f>
        <v>28800</v>
      </c>
      <c r="F6" s="122">
        <f>0.5*G6</f>
        <v>1474.8390000000018</v>
      </c>
      <c r="G6" s="122">
        <f>H6-I6</f>
        <v>2949.6780000000035</v>
      </c>
      <c r="H6" s="120">
        <f>' коэф замещение доход'!D59/1000</f>
        <v>32941.480000000003</v>
      </c>
      <c r="I6" s="120">
        <f>' коэф замещение доход'!B59/1000</f>
        <v>29991.802</v>
      </c>
      <c r="J6" s="122">
        <f>E6+F6</f>
        <v>30274.839</v>
      </c>
      <c r="K6" s="120">
        <v>7938</v>
      </c>
      <c r="L6" s="122">
        <f>(J6/K6)/(J14/K14)</f>
        <v>1.5336698523757026</v>
      </c>
    </row>
    <row r="7" spans="1:12" s="209" customFormat="1">
      <c r="A7" s="214" t="s">
        <v>89</v>
      </c>
      <c r="B7" s="120">
        <v>204</v>
      </c>
      <c r="C7" s="120">
        <v>285</v>
      </c>
      <c r="D7" s="120">
        <v>395</v>
      </c>
      <c r="E7" s="122">
        <f t="shared" ref="E7:E14" si="0">SUM(B7:D7)</f>
        <v>884</v>
      </c>
      <c r="F7" s="122">
        <f t="shared" ref="F7:F14" si="1">0.5*G7</f>
        <v>185.62</v>
      </c>
      <c r="G7" s="122">
        <f t="shared" ref="G7:G14" si="2">H7-I7</f>
        <v>371.24</v>
      </c>
      <c r="H7" s="120">
        <f>' коэф замещение доход'!D82/1000</f>
        <v>1275.24</v>
      </c>
      <c r="I7" s="120">
        <f>' коэф замещение доход'!B82/1000</f>
        <v>904</v>
      </c>
      <c r="J7" s="122">
        <f t="shared" ref="J7:J13" si="3">E7+F7</f>
        <v>1069.6199999999999</v>
      </c>
      <c r="K7" s="120">
        <v>1676</v>
      </c>
      <c r="L7" s="122">
        <f>(J7/K7)/(J14/K14)</f>
        <v>0.25663544211318812</v>
      </c>
    </row>
    <row r="8" spans="1:12" s="209" customFormat="1">
      <c r="A8" s="214" t="s">
        <v>90</v>
      </c>
      <c r="B8" s="120">
        <v>92</v>
      </c>
      <c r="C8" s="120">
        <v>91</v>
      </c>
      <c r="D8" s="120">
        <v>30</v>
      </c>
      <c r="E8" s="122">
        <f t="shared" si="0"/>
        <v>213</v>
      </c>
      <c r="F8" s="122">
        <f t="shared" si="1"/>
        <v>48.750000000000014</v>
      </c>
      <c r="G8" s="122">
        <f t="shared" si="2"/>
        <v>97.500000000000028</v>
      </c>
      <c r="H8" s="120">
        <f>' коэф замещение доход'!D13/1000</f>
        <v>311.72000000000003</v>
      </c>
      <c r="I8" s="120">
        <f>' коэф замещение доход'!B13/1000</f>
        <v>214.22</v>
      </c>
      <c r="J8" s="122">
        <f t="shared" si="3"/>
        <v>261.75</v>
      </c>
      <c r="K8" s="120">
        <v>276</v>
      </c>
      <c r="L8" s="122">
        <f>(J8/K8)/(J14/K14)</f>
        <v>0.38136316326535324</v>
      </c>
    </row>
    <row r="9" spans="1:12" s="209" customFormat="1">
      <c r="A9" s="214" t="s">
        <v>91</v>
      </c>
      <c r="B9" s="120">
        <v>102</v>
      </c>
      <c r="C9" s="120">
        <v>35</v>
      </c>
      <c r="D9" s="120">
        <v>204</v>
      </c>
      <c r="E9" s="122">
        <f t="shared" si="0"/>
        <v>341</v>
      </c>
      <c r="F9" s="122">
        <f t="shared" si="1"/>
        <v>46.5</v>
      </c>
      <c r="G9" s="122">
        <f t="shared" si="2"/>
        <v>93</v>
      </c>
      <c r="H9" s="120">
        <f>' коэф замещение доход'!D24/1000</f>
        <v>590</v>
      </c>
      <c r="I9" s="120">
        <f>' коэф замещение доход'!B24/1000</f>
        <v>497</v>
      </c>
      <c r="J9" s="122">
        <f t="shared" si="3"/>
        <v>387.5</v>
      </c>
      <c r="K9" s="120">
        <v>841</v>
      </c>
      <c r="L9" s="122">
        <f>(J9/K9)/(J14/K14)</f>
        <v>0.1852835418390556</v>
      </c>
    </row>
    <row r="10" spans="1:12" s="209" customFormat="1">
      <c r="A10" s="214" t="s">
        <v>92</v>
      </c>
      <c r="B10" s="120">
        <v>877</v>
      </c>
      <c r="C10" s="120">
        <v>344</v>
      </c>
      <c r="D10" s="120">
        <v>121</v>
      </c>
      <c r="E10" s="122">
        <f t="shared" si="0"/>
        <v>1342</v>
      </c>
      <c r="F10" s="122">
        <f t="shared" si="1"/>
        <v>-69.5</v>
      </c>
      <c r="G10" s="122">
        <f t="shared" si="2"/>
        <v>-139</v>
      </c>
      <c r="H10" s="120">
        <f>' коэф замещение доход'!D70/1000</f>
        <v>1480</v>
      </c>
      <c r="I10" s="120">
        <f>' коэф замещение доход'!B70/1000</f>
        <v>1619</v>
      </c>
      <c r="J10" s="122">
        <f t="shared" si="3"/>
        <v>1272.5</v>
      </c>
      <c r="K10" s="120">
        <v>1268</v>
      </c>
      <c r="L10" s="122">
        <f>(J10/K10)/(J14/K14)</f>
        <v>0.40355215463265848</v>
      </c>
    </row>
    <row r="11" spans="1:12" s="209" customFormat="1">
      <c r="A11" s="214" t="s">
        <v>93</v>
      </c>
      <c r="B11" s="120">
        <v>77</v>
      </c>
      <c r="C11" s="120">
        <v>93</v>
      </c>
      <c r="D11" s="120">
        <v>93</v>
      </c>
      <c r="E11" s="122">
        <f t="shared" si="0"/>
        <v>263</v>
      </c>
      <c r="F11" s="122">
        <f t="shared" si="1"/>
        <v>320.2</v>
      </c>
      <c r="G11" s="122">
        <f t="shared" si="2"/>
        <v>640.4</v>
      </c>
      <c r="H11" s="120">
        <f>' коэф замещение доход'!D49/1000</f>
        <v>963.4</v>
      </c>
      <c r="I11" s="120">
        <f>' коэф замещение доход'!B49/1000</f>
        <v>323</v>
      </c>
      <c r="J11" s="122">
        <f t="shared" si="3"/>
        <v>583.20000000000005</v>
      </c>
      <c r="K11" s="120">
        <v>535</v>
      </c>
      <c r="L11" s="122">
        <f>(J11/K11)/(J14/K14)</f>
        <v>0.43835389137679504</v>
      </c>
    </row>
    <row r="12" spans="1:12" s="209" customFormat="1">
      <c r="A12" s="214" t="s">
        <v>94</v>
      </c>
      <c r="B12" s="120">
        <v>90</v>
      </c>
      <c r="C12" s="120">
        <v>51</v>
      </c>
      <c r="D12" s="120">
        <v>79</v>
      </c>
      <c r="E12" s="122">
        <f t="shared" si="0"/>
        <v>220</v>
      </c>
      <c r="F12" s="122">
        <f t="shared" si="1"/>
        <v>17.5</v>
      </c>
      <c r="G12" s="122">
        <f t="shared" si="2"/>
        <v>35</v>
      </c>
      <c r="H12" s="120">
        <f>' коэф замещение доход'!D97/1000</f>
        <v>355.5</v>
      </c>
      <c r="I12" s="120">
        <f>' коэф замещение доход'!B97/1000</f>
        <v>320.5</v>
      </c>
      <c r="J12" s="122">
        <f t="shared" si="3"/>
        <v>237.5</v>
      </c>
      <c r="K12" s="120">
        <v>664</v>
      </c>
      <c r="L12" s="122">
        <f>(J12/K12)/(J14/K14)</f>
        <v>0.14383238024904146</v>
      </c>
    </row>
    <row r="13" spans="1:12" s="209" customFormat="1">
      <c r="A13" s="214" t="s">
        <v>95</v>
      </c>
      <c r="B13" s="140">
        <v>76</v>
      </c>
      <c r="C13" s="120">
        <v>125</v>
      </c>
      <c r="D13" s="120">
        <v>200</v>
      </c>
      <c r="E13" s="122">
        <f t="shared" si="0"/>
        <v>401</v>
      </c>
      <c r="F13" s="122">
        <f t="shared" si="1"/>
        <v>95.860000000000014</v>
      </c>
      <c r="G13" s="122">
        <f t="shared" si="2"/>
        <v>191.72000000000003</v>
      </c>
      <c r="H13" s="120">
        <f>' коэф замещение доход'!D36/1000</f>
        <v>747.72</v>
      </c>
      <c r="I13" s="120">
        <f>' коэф замещение доход'!B36/1000</f>
        <v>556</v>
      </c>
      <c r="J13" s="122">
        <f t="shared" si="3"/>
        <v>496.86</v>
      </c>
      <c r="K13" s="120">
        <v>709</v>
      </c>
      <c r="L13" s="122">
        <f>(J13/K13)/(J14/K14)</f>
        <v>0.28180515467690725</v>
      </c>
    </row>
    <row r="14" spans="1:12" s="209" customFormat="1" ht="25.5">
      <c r="A14" s="215" t="s">
        <v>96</v>
      </c>
      <c r="B14" s="140">
        <f>SUM(B6:B13)</f>
        <v>24058</v>
      </c>
      <c r="C14" s="140">
        <f t="shared" ref="C14:D14" si="4">SUM(C6:C13)</f>
        <v>2477</v>
      </c>
      <c r="D14" s="140">
        <f t="shared" si="4"/>
        <v>5929</v>
      </c>
      <c r="E14" s="122">
        <f t="shared" si="0"/>
        <v>32464</v>
      </c>
      <c r="F14" s="122">
        <f t="shared" si="1"/>
        <v>2119.7690000000039</v>
      </c>
      <c r="G14" s="122">
        <f t="shared" si="2"/>
        <v>4239.5380000000077</v>
      </c>
      <c r="H14" s="140">
        <f>SUM(H6:H13)</f>
        <v>38665.060000000005</v>
      </c>
      <c r="I14" s="140">
        <f>SUM(I6:I13)</f>
        <v>34425.521999999997</v>
      </c>
      <c r="J14" s="216">
        <f t="shared" ref="J14:K14" si="5">SUM(J6:J13)</f>
        <v>34583.769</v>
      </c>
      <c r="K14" s="140">
        <f t="shared" si="5"/>
        <v>13907</v>
      </c>
      <c r="L14" s="122"/>
    </row>
  </sheetData>
  <mergeCells count="10">
    <mergeCell ref="A3:A4"/>
    <mergeCell ref="B3:D3"/>
    <mergeCell ref="E3:E4"/>
    <mergeCell ref="K3:K4"/>
    <mergeCell ref="L3:L4"/>
    <mergeCell ref="F3:F4"/>
    <mergeCell ref="J3:J4"/>
    <mergeCell ref="H3:H4"/>
    <mergeCell ref="I3:I4"/>
    <mergeCell ref="G3:G4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G99"/>
  <sheetViews>
    <sheetView topLeftCell="A22" workbookViewId="0">
      <selection activeCell="E38" sqref="E38:E48"/>
    </sheetView>
  </sheetViews>
  <sheetFormatPr defaultRowHeight="12.75"/>
  <cols>
    <col min="1" max="1" width="51.140625" customWidth="1"/>
    <col min="2" max="2" width="19.42578125" customWidth="1"/>
    <col min="3" max="3" width="20.85546875" customWidth="1"/>
    <col min="4" max="4" width="22.7109375" customWidth="1"/>
    <col min="5" max="5" width="21.140625" customWidth="1"/>
  </cols>
  <sheetData>
    <row r="1" spans="1:5" ht="15.75">
      <c r="A1" s="123"/>
      <c r="B1" s="123"/>
      <c r="C1" s="123"/>
      <c r="D1" s="123"/>
      <c r="E1" s="123"/>
    </row>
    <row r="2" spans="1:5" ht="86.25" customHeight="1">
      <c r="A2" s="124" t="s">
        <v>107</v>
      </c>
      <c r="B2" s="124" t="s">
        <v>108</v>
      </c>
      <c r="C2" s="124" t="s">
        <v>109</v>
      </c>
      <c r="D2" s="124" t="s">
        <v>110</v>
      </c>
      <c r="E2" s="124" t="s">
        <v>111</v>
      </c>
    </row>
    <row r="3" spans="1:5" ht="13.5" customHeight="1">
      <c r="A3" s="124">
        <v>1</v>
      </c>
      <c r="B3" s="124">
        <v>2</v>
      </c>
      <c r="C3" s="124">
        <v>3</v>
      </c>
      <c r="D3" s="124">
        <v>4</v>
      </c>
      <c r="E3" s="125" t="s">
        <v>112</v>
      </c>
    </row>
    <row r="4" spans="1:5" ht="15.75">
      <c r="A4" s="248" t="s">
        <v>75</v>
      </c>
      <c r="B4" s="249"/>
      <c r="C4" s="249"/>
      <c r="D4" s="249"/>
      <c r="E4" s="249"/>
    </row>
    <row r="5" spans="1:5" ht="15.75">
      <c r="A5" s="126" t="s">
        <v>113</v>
      </c>
      <c r="B5" s="127">
        <v>70000</v>
      </c>
      <c r="C5" s="128">
        <v>59000</v>
      </c>
      <c r="D5" s="128">
        <v>85000</v>
      </c>
      <c r="E5" s="129">
        <f>D5-B5</f>
        <v>15000</v>
      </c>
    </row>
    <row r="6" spans="1:5" ht="17.25" customHeight="1">
      <c r="A6" s="126" t="s">
        <v>114</v>
      </c>
      <c r="B6" s="128">
        <v>19000</v>
      </c>
      <c r="C6" s="128">
        <v>20600</v>
      </c>
      <c r="D6" s="128">
        <v>30000</v>
      </c>
      <c r="E6" s="129">
        <f t="shared" ref="E6:E13" si="0">D6-B6</f>
        <v>11000</v>
      </c>
    </row>
    <row r="7" spans="1:5" ht="17.25" customHeight="1">
      <c r="A7" s="126" t="s">
        <v>115</v>
      </c>
      <c r="B7" s="128">
        <v>37000</v>
      </c>
      <c r="C7" s="128">
        <v>93600</v>
      </c>
      <c r="D7" s="128">
        <v>94000</v>
      </c>
      <c r="E7" s="129">
        <f t="shared" si="0"/>
        <v>57000</v>
      </c>
    </row>
    <row r="8" spans="1:5" ht="17.25" customHeight="1">
      <c r="A8" s="126" t="s">
        <v>116</v>
      </c>
      <c r="B8" s="128">
        <v>40000</v>
      </c>
      <c r="C8" s="128">
        <v>16600</v>
      </c>
      <c r="D8" s="128">
        <v>49000</v>
      </c>
      <c r="E8" s="129">
        <f t="shared" si="0"/>
        <v>9000</v>
      </c>
    </row>
    <row r="9" spans="1:5" ht="17.25" customHeight="1">
      <c r="A9" s="126" t="s">
        <v>117</v>
      </c>
      <c r="B9" s="128">
        <v>36720</v>
      </c>
      <c r="C9" s="128">
        <v>27500</v>
      </c>
      <c r="D9" s="128">
        <v>36720</v>
      </c>
      <c r="E9" s="129">
        <f t="shared" si="0"/>
        <v>0</v>
      </c>
    </row>
    <row r="10" spans="1:5" ht="17.25" customHeight="1">
      <c r="A10" s="126" t="s">
        <v>118</v>
      </c>
      <c r="B10" s="127">
        <v>8500</v>
      </c>
      <c r="C10" s="128">
        <v>14500</v>
      </c>
      <c r="D10" s="128">
        <v>17000</v>
      </c>
      <c r="E10" s="129">
        <f t="shared" si="0"/>
        <v>8500</v>
      </c>
    </row>
    <row r="11" spans="1:5" ht="17.25" hidden="1" customHeight="1">
      <c r="A11" s="126" t="s">
        <v>119</v>
      </c>
      <c r="B11" s="128">
        <v>0</v>
      </c>
      <c r="C11" s="128"/>
      <c r="D11" s="128"/>
      <c r="E11" s="129">
        <f t="shared" si="0"/>
        <v>0</v>
      </c>
    </row>
    <row r="12" spans="1:5" ht="17.25" customHeight="1">
      <c r="A12" s="126" t="s">
        <v>120</v>
      </c>
      <c r="B12" s="128">
        <v>3000</v>
      </c>
      <c r="C12" s="128"/>
      <c r="D12" s="128">
        <v>0</v>
      </c>
      <c r="E12" s="129">
        <f t="shared" si="0"/>
        <v>-3000</v>
      </c>
    </row>
    <row r="13" spans="1:5" ht="15.75">
      <c r="A13" s="130" t="s">
        <v>121</v>
      </c>
      <c r="B13" s="131">
        <f>SUM(B5:B12)</f>
        <v>214220</v>
      </c>
      <c r="C13" s="131">
        <f>SUM(C5:C12)</f>
        <v>231800</v>
      </c>
      <c r="D13" s="131">
        <f>SUM(D5:D12)</f>
        <v>311720</v>
      </c>
      <c r="E13" s="132">
        <f t="shared" si="0"/>
        <v>97500</v>
      </c>
    </row>
    <row r="14" spans="1:5" ht="15.75">
      <c r="A14" s="246" t="s">
        <v>76</v>
      </c>
      <c r="B14" s="247"/>
      <c r="C14" s="247"/>
      <c r="D14" s="247"/>
      <c r="E14" s="247"/>
    </row>
    <row r="15" spans="1:5" ht="15.75">
      <c r="A15" s="126" t="s">
        <v>113</v>
      </c>
      <c r="B15" s="128">
        <v>89000</v>
      </c>
      <c r="C15" s="128">
        <v>67000</v>
      </c>
      <c r="D15" s="128">
        <v>98000</v>
      </c>
      <c r="E15" s="129">
        <f>D15-B15</f>
        <v>9000</v>
      </c>
    </row>
    <row r="16" spans="1:5" ht="15.75" hidden="1">
      <c r="A16" s="126" t="s">
        <v>122</v>
      </c>
      <c r="B16" s="128">
        <v>0</v>
      </c>
      <c r="C16" s="128"/>
      <c r="D16" s="128"/>
      <c r="E16" s="129">
        <f t="shared" ref="E16:E22" si="1">D16-B16</f>
        <v>0</v>
      </c>
    </row>
    <row r="17" spans="1:5" ht="15.75">
      <c r="A17" s="126" t="s">
        <v>114</v>
      </c>
      <c r="B17" s="128">
        <v>130000</v>
      </c>
      <c r="C17" s="128">
        <v>17700</v>
      </c>
      <c r="D17" s="128">
        <v>203000</v>
      </c>
      <c r="E17" s="129">
        <f t="shared" si="1"/>
        <v>73000</v>
      </c>
    </row>
    <row r="18" spans="1:5" ht="15.75">
      <c r="A18" s="126" t="s">
        <v>115</v>
      </c>
      <c r="B18" s="128">
        <v>22000</v>
      </c>
      <c r="C18" s="128">
        <v>14500</v>
      </c>
      <c r="D18" s="128">
        <v>17000</v>
      </c>
      <c r="E18" s="129">
        <f t="shared" si="1"/>
        <v>-5000</v>
      </c>
    </row>
    <row r="19" spans="1:5" ht="15.75">
      <c r="A19" s="126" t="s">
        <v>116</v>
      </c>
      <c r="B19" s="128">
        <v>27000</v>
      </c>
      <c r="C19" s="128">
        <v>700</v>
      </c>
      <c r="D19" s="128">
        <v>19000</v>
      </c>
      <c r="E19" s="129">
        <f t="shared" si="1"/>
        <v>-8000</v>
      </c>
    </row>
    <row r="20" spans="1:5" ht="15.75">
      <c r="A20" s="126" t="s">
        <v>117</v>
      </c>
      <c r="B20" s="128">
        <v>193000</v>
      </c>
      <c r="C20" s="128">
        <v>163300</v>
      </c>
      <c r="D20" s="128">
        <v>193000</v>
      </c>
      <c r="E20" s="129">
        <f t="shared" si="1"/>
        <v>0</v>
      </c>
    </row>
    <row r="21" spans="1:5" ht="15.75">
      <c r="A21" s="126" t="s">
        <v>118</v>
      </c>
      <c r="B21" s="128">
        <v>30000</v>
      </c>
      <c r="C21" s="128">
        <v>50000</v>
      </c>
      <c r="D21" s="128">
        <v>60000</v>
      </c>
      <c r="E21" s="129">
        <f t="shared" si="1"/>
        <v>30000</v>
      </c>
    </row>
    <row r="22" spans="1:5" ht="15.75">
      <c r="A22" s="126" t="s">
        <v>120</v>
      </c>
      <c r="B22" s="128">
        <v>6000</v>
      </c>
      <c r="C22" s="128"/>
      <c r="D22" s="128">
        <v>0</v>
      </c>
      <c r="E22" s="129">
        <f t="shared" si="1"/>
        <v>-6000</v>
      </c>
    </row>
    <row r="23" spans="1:5" ht="15.75">
      <c r="A23" s="126"/>
      <c r="B23" s="128"/>
      <c r="C23" s="128"/>
      <c r="D23" s="128">
        <v>0</v>
      </c>
      <c r="E23" s="129"/>
    </row>
    <row r="24" spans="1:5" ht="15.75">
      <c r="A24" s="130" t="s">
        <v>121</v>
      </c>
      <c r="B24" s="131">
        <f>SUM(B15:B22)</f>
        <v>497000</v>
      </c>
      <c r="C24" s="131">
        <f>SUM(C15:C23)</f>
        <v>313200</v>
      </c>
      <c r="D24" s="131">
        <f>SUM(D15:D23)</f>
        <v>590000</v>
      </c>
      <c r="E24" s="132">
        <f t="shared" ref="E24" si="2">D24-B24</f>
        <v>93000</v>
      </c>
    </row>
    <row r="25" spans="1:5" ht="15.75">
      <c r="A25" s="246" t="s">
        <v>80</v>
      </c>
      <c r="B25" s="247"/>
      <c r="C25" s="247"/>
      <c r="D25" s="247"/>
      <c r="E25" s="247"/>
    </row>
    <row r="26" spans="1:5" ht="15.75">
      <c r="A26" s="126" t="s">
        <v>113</v>
      </c>
      <c r="B26" s="128">
        <v>77000</v>
      </c>
      <c r="C26" s="128">
        <v>47000</v>
      </c>
      <c r="D26" s="128">
        <v>70000</v>
      </c>
      <c r="E26" s="129">
        <f t="shared" ref="E26:E36" si="3">D26-B26</f>
        <v>-7000</v>
      </c>
    </row>
    <row r="27" spans="1:5" ht="15.75">
      <c r="A27" s="126" t="s">
        <v>114</v>
      </c>
      <c r="B27" s="128">
        <v>158000</v>
      </c>
      <c r="C27" s="128">
        <v>69000</v>
      </c>
      <c r="D27" s="128">
        <v>199000</v>
      </c>
      <c r="E27" s="129">
        <f t="shared" si="3"/>
        <v>41000</v>
      </c>
    </row>
    <row r="28" spans="1:5" ht="15.75">
      <c r="A28" s="126" t="s">
        <v>115</v>
      </c>
      <c r="B28" s="128">
        <v>63000</v>
      </c>
      <c r="C28" s="128">
        <v>46200</v>
      </c>
      <c r="D28" s="128">
        <v>47000</v>
      </c>
      <c r="E28" s="129">
        <f t="shared" si="3"/>
        <v>-16000</v>
      </c>
    </row>
    <row r="29" spans="1:5" ht="15.75">
      <c r="A29" s="126" t="s">
        <v>116</v>
      </c>
      <c r="B29" s="128">
        <v>124000</v>
      </c>
      <c r="C29" s="128">
        <v>40200</v>
      </c>
      <c r="D29" s="128">
        <v>83000</v>
      </c>
      <c r="E29" s="129">
        <f t="shared" si="3"/>
        <v>-41000</v>
      </c>
    </row>
    <row r="30" spans="1:5" ht="15.75">
      <c r="A30" s="126" t="s">
        <v>117</v>
      </c>
      <c r="B30" s="128">
        <v>97000</v>
      </c>
      <c r="C30" s="128">
        <v>57500</v>
      </c>
      <c r="D30" s="128">
        <v>97000</v>
      </c>
      <c r="E30" s="129">
        <f t="shared" si="3"/>
        <v>0</v>
      </c>
    </row>
    <row r="31" spans="1:5" ht="15.75">
      <c r="A31" s="126" t="s">
        <v>118</v>
      </c>
      <c r="B31" s="128">
        <v>35000</v>
      </c>
      <c r="C31" s="128">
        <v>20700</v>
      </c>
      <c r="D31" s="128">
        <v>35000</v>
      </c>
      <c r="E31" s="129">
        <f t="shared" si="3"/>
        <v>0</v>
      </c>
    </row>
    <row r="32" spans="1:5" ht="15.75" hidden="1">
      <c r="A32" s="126"/>
      <c r="B32" s="128">
        <v>0</v>
      </c>
      <c r="C32" s="128"/>
      <c r="D32" s="128"/>
      <c r="E32" s="129">
        <f t="shared" si="3"/>
        <v>0</v>
      </c>
    </row>
    <row r="33" spans="1:5" ht="15.75">
      <c r="A33" s="126" t="s">
        <v>122</v>
      </c>
      <c r="B33" s="128"/>
      <c r="C33" s="128"/>
      <c r="D33" s="128">
        <v>0</v>
      </c>
      <c r="E33" s="129">
        <f t="shared" si="3"/>
        <v>0</v>
      </c>
    </row>
    <row r="34" spans="1:5" ht="15.75">
      <c r="A34" s="126" t="s">
        <v>120</v>
      </c>
      <c r="B34" s="128">
        <v>2000</v>
      </c>
      <c r="C34" s="128"/>
      <c r="D34" s="128">
        <v>0</v>
      </c>
      <c r="E34" s="129">
        <f t="shared" si="3"/>
        <v>-2000</v>
      </c>
    </row>
    <row r="35" spans="1:5" ht="15.75">
      <c r="A35" s="126" t="s">
        <v>123</v>
      </c>
      <c r="B35" s="128"/>
      <c r="C35" s="128">
        <v>216720</v>
      </c>
      <c r="D35" s="128">
        <v>216720</v>
      </c>
      <c r="E35" s="129">
        <f t="shared" si="3"/>
        <v>216720</v>
      </c>
    </row>
    <row r="36" spans="1:5" ht="15.75">
      <c r="A36" s="130" t="s">
        <v>121</v>
      </c>
      <c r="B36" s="131">
        <f>SUM(B26:B35)</f>
        <v>556000</v>
      </c>
      <c r="C36" s="131">
        <f>SUM(C26:C35)</f>
        <v>497320</v>
      </c>
      <c r="D36" s="131">
        <f>SUM(D26:D35)</f>
        <v>747720</v>
      </c>
      <c r="E36" s="132">
        <f t="shared" si="3"/>
        <v>191720</v>
      </c>
    </row>
    <row r="37" spans="1:5" ht="15.75">
      <c r="A37" s="246" t="s">
        <v>78</v>
      </c>
      <c r="B37" s="247"/>
      <c r="C37" s="247"/>
      <c r="D37" s="247"/>
      <c r="E37" s="247"/>
    </row>
    <row r="38" spans="1:5" ht="15.75">
      <c r="A38" s="126" t="s">
        <v>113</v>
      </c>
      <c r="B38" s="128">
        <v>47000</v>
      </c>
      <c r="C38" s="128">
        <v>48500</v>
      </c>
      <c r="D38" s="128">
        <v>72000</v>
      </c>
      <c r="E38" s="129">
        <f>D38-B38</f>
        <v>25000</v>
      </c>
    </row>
    <row r="39" spans="1:5" ht="15.75">
      <c r="A39" s="126" t="s">
        <v>114</v>
      </c>
      <c r="B39" s="128">
        <v>59000</v>
      </c>
      <c r="C39" s="128">
        <v>20500</v>
      </c>
      <c r="D39" s="128">
        <v>93000</v>
      </c>
      <c r="E39" s="129">
        <f t="shared" ref="E39:E48" si="4">D39-B39</f>
        <v>34000</v>
      </c>
    </row>
    <row r="40" spans="1:5" ht="15.75">
      <c r="A40" s="126" t="s">
        <v>115</v>
      </c>
      <c r="B40" s="128">
        <v>79000</v>
      </c>
      <c r="C40" s="128">
        <v>60900</v>
      </c>
      <c r="D40" s="128">
        <v>44000</v>
      </c>
      <c r="E40" s="129">
        <f t="shared" si="4"/>
        <v>-35000</v>
      </c>
    </row>
    <row r="41" spans="1:5" ht="15.75">
      <c r="A41" s="126" t="s">
        <v>116</v>
      </c>
      <c r="B41" s="128">
        <v>49000</v>
      </c>
      <c r="C41" s="128">
        <v>17700</v>
      </c>
      <c r="D41" s="128">
        <v>51000</v>
      </c>
      <c r="E41" s="129">
        <f t="shared" si="4"/>
        <v>2000</v>
      </c>
    </row>
    <row r="42" spans="1:5" ht="15.75">
      <c r="A42" s="126" t="s">
        <v>117</v>
      </c>
      <c r="B42" s="128">
        <v>47000</v>
      </c>
      <c r="C42" s="128">
        <v>42600</v>
      </c>
      <c r="D42" s="128">
        <v>47000</v>
      </c>
      <c r="E42" s="129">
        <f t="shared" si="4"/>
        <v>0</v>
      </c>
    </row>
    <row r="43" spans="1:5" ht="15.75">
      <c r="A43" s="126" t="s">
        <v>118</v>
      </c>
      <c r="B43" s="128">
        <v>10000</v>
      </c>
      <c r="C43" s="128">
        <v>6900</v>
      </c>
      <c r="D43" s="128">
        <v>10000</v>
      </c>
      <c r="E43" s="129">
        <f t="shared" si="4"/>
        <v>0</v>
      </c>
    </row>
    <row r="44" spans="1:5" ht="15.75">
      <c r="A44" s="126" t="s">
        <v>122</v>
      </c>
      <c r="B44" s="128">
        <v>28000</v>
      </c>
      <c r="C44" s="128">
        <v>19800</v>
      </c>
      <c r="D44" s="128">
        <v>20000</v>
      </c>
      <c r="E44" s="129">
        <f t="shared" si="4"/>
        <v>-8000</v>
      </c>
    </row>
    <row r="45" spans="1:5" ht="15.75" hidden="1">
      <c r="A45" s="126"/>
      <c r="B45" s="128">
        <v>0</v>
      </c>
      <c r="C45" s="128">
        <v>0</v>
      </c>
      <c r="D45" s="128">
        <v>0</v>
      </c>
      <c r="E45" s="129">
        <f t="shared" si="4"/>
        <v>0</v>
      </c>
    </row>
    <row r="46" spans="1:5" ht="15.75" hidden="1">
      <c r="A46" s="126"/>
      <c r="B46" s="128"/>
      <c r="C46" s="128"/>
      <c r="D46" s="128"/>
      <c r="E46" s="129">
        <f t="shared" si="4"/>
        <v>0</v>
      </c>
    </row>
    <row r="47" spans="1:5" ht="15.75">
      <c r="A47" s="126" t="s">
        <v>120</v>
      </c>
      <c r="B47" s="128">
        <v>4000</v>
      </c>
      <c r="C47" s="128">
        <v>0</v>
      </c>
      <c r="D47" s="128">
        <v>0</v>
      </c>
      <c r="E47" s="129">
        <f t="shared" si="4"/>
        <v>-4000</v>
      </c>
    </row>
    <row r="48" spans="1:5" ht="15.75">
      <c r="A48" s="126" t="s">
        <v>123</v>
      </c>
      <c r="B48" s="128"/>
      <c r="C48" s="128">
        <v>626400</v>
      </c>
      <c r="D48" s="128">
        <v>626400</v>
      </c>
      <c r="E48" s="129">
        <f t="shared" si="4"/>
        <v>626400</v>
      </c>
    </row>
    <row r="49" spans="1:5" ht="15.75">
      <c r="A49" s="130" t="s">
        <v>121</v>
      </c>
      <c r="B49" s="131">
        <f>SUM(B38:B48)</f>
        <v>323000</v>
      </c>
      <c r="C49" s="131">
        <f>SUM(C38:C48)</f>
        <v>843300</v>
      </c>
      <c r="D49" s="131">
        <f>SUM(D38:D48)</f>
        <v>963400</v>
      </c>
      <c r="E49" s="131">
        <f>SUM(E38:E48)</f>
        <v>640400</v>
      </c>
    </row>
    <row r="50" spans="1:5" ht="15.75">
      <c r="A50" s="246" t="s">
        <v>124</v>
      </c>
      <c r="B50" s="247"/>
      <c r="C50" s="247"/>
      <c r="D50" s="247"/>
      <c r="E50" s="247"/>
    </row>
    <row r="51" spans="1:5" ht="15.75">
      <c r="A51" s="126" t="s">
        <v>113</v>
      </c>
      <c r="B51" s="128">
        <v>19921000</v>
      </c>
      <c r="C51" s="128">
        <v>14972800</v>
      </c>
      <c r="D51" s="128">
        <v>21031000</v>
      </c>
      <c r="E51" s="129">
        <f>D51-B51</f>
        <v>1110000</v>
      </c>
    </row>
    <row r="52" spans="1:5" ht="15.75" hidden="1">
      <c r="A52" s="126" t="s">
        <v>122</v>
      </c>
      <c r="B52" s="128">
        <v>0</v>
      </c>
      <c r="C52" s="128"/>
      <c r="D52" s="128">
        <f>C52</f>
        <v>0</v>
      </c>
      <c r="E52" s="129">
        <f t="shared" ref="E52:E58" si="5">D52-B52</f>
        <v>0</v>
      </c>
    </row>
    <row r="53" spans="1:5" ht="15.75">
      <c r="A53" s="126" t="s">
        <v>114</v>
      </c>
      <c r="B53" s="128">
        <v>3354000</v>
      </c>
      <c r="C53" s="128">
        <v>1565300</v>
      </c>
      <c r="D53" s="128">
        <v>4783000</v>
      </c>
      <c r="E53" s="129">
        <f t="shared" si="5"/>
        <v>1429000</v>
      </c>
    </row>
    <row r="54" spans="1:5" ht="15.75">
      <c r="A54" s="126" t="s">
        <v>115</v>
      </c>
      <c r="B54" s="128">
        <v>1214000</v>
      </c>
      <c r="C54" s="128">
        <v>554000</v>
      </c>
      <c r="D54" s="128">
        <v>697000</v>
      </c>
      <c r="E54" s="129">
        <f t="shared" si="5"/>
        <v>-517000</v>
      </c>
    </row>
    <row r="55" spans="1:5" ht="15.75">
      <c r="A55" s="126" t="s">
        <v>116</v>
      </c>
      <c r="B55" s="128">
        <v>930000</v>
      </c>
      <c r="C55" s="128">
        <v>535300</v>
      </c>
      <c r="D55" s="128">
        <v>796000</v>
      </c>
      <c r="E55" s="129">
        <f t="shared" si="5"/>
        <v>-134000</v>
      </c>
    </row>
    <row r="56" spans="1:5" ht="15.75">
      <c r="A56" s="126" t="s">
        <v>117</v>
      </c>
      <c r="B56" s="128">
        <v>3313902</v>
      </c>
      <c r="C56" s="128">
        <v>2793300</v>
      </c>
      <c r="D56" s="128">
        <v>3376000</v>
      </c>
      <c r="E56" s="129">
        <f t="shared" si="5"/>
        <v>62098</v>
      </c>
    </row>
    <row r="57" spans="1:5" ht="15.75">
      <c r="A57" s="126" t="s">
        <v>123</v>
      </c>
      <c r="B57" s="128">
        <v>1258900</v>
      </c>
      <c r="C57" s="128">
        <v>2169000</v>
      </c>
      <c r="D57" s="133">
        <v>2218000</v>
      </c>
      <c r="E57" s="129">
        <f t="shared" si="5"/>
        <v>959100</v>
      </c>
    </row>
    <row r="58" spans="1:5" ht="15.75">
      <c r="A58" s="126" t="s">
        <v>118</v>
      </c>
      <c r="B58" s="128">
        <v>0</v>
      </c>
      <c r="C58" s="128">
        <v>40480</v>
      </c>
      <c r="D58" s="128">
        <v>40480</v>
      </c>
      <c r="E58" s="129">
        <f t="shared" si="5"/>
        <v>40480</v>
      </c>
    </row>
    <row r="59" spans="1:5" ht="15.75">
      <c r="A59" s="130" t="s">
        <v>121</v>
      </c>
      <c r="B59" s="131">
        <f>SUM(B51:B58)</f>
        <v>29991802</v>
      </c>
      <c r="C59" s="131">
        <f t="shared" ref="C59:E59" si="6">SUM(C51:C58)</f>
        <v>22630180</v>
      </c>
      <c r="D59" s="131">
        <f t="shared" si="6"/>
        <v>32941480</v>
      </c>
      <c r="E59" s="131">
        <f t="shared" si="6"/>
        <v>2949678</v>
      </c>
    </row>
    <row r="60" spans="1:5" ht="15.75">
      <c r="A60" s="246" t="s">
        <v>125</v>
      </c>
      <c r="B60" s="247"/>
      <c r="C60" s="247"/>
      <c r="D60" s="247"/>
      <c r="E60" s="247"/>
    </row>
    <row r="61" spans="1:5" ht="15.75">
      <c r="A61" s="126" t="s">
        <v>113</v>
      </c>
      <c r="B61" s="128">
        <v>721000</v>
      </c>
      <c r="C61" s="128">
        <v>541900</v>
      </c>
      <c r="D61" s="128">
        <v>817000</v>
      </c>
      <c r="E61" s="129">
        <f>D61-B61</f>
        <v>96000</v>
      </c>
    </row>
    <row r="62" spans="1:5" ht="15.75">
      <c r="A62" s="126" t="s">
        <v>114</v>
      </c>
      <c r="B62" s="128">
        <v>83000</v>
      </c>
      <c r="C62" s="128">
        <v>39500</v>
      </c>
      <c r="D62" s="128">
        <v>120000</v>
      </c>
      <c r="E62" s="129">
        <f t="shared" ref="E62:E70" si="7">D62-B62</f>
        <v>37000</v>
      </c>
    </row>
    <row r="63" spans="1:5" ht="15.75">
      <c r="A63" s="126" t="s">
        <v>115</v>
      </c>
      <c r="B63" s="128">
        <v>502000</v>
      </c>
      <c r="C63" s="128">
        <v>162500</v>
      </c>
      <c r="D63" s="128">
        <v>226000</v>
      </c>
      <c r="E63" s="129">
        <f t="shared" si="7"/>
        <v>-276000</v>
      </c>
    </row>
    <row r="64" spans="1:5" ht="15.75">
      <c r="A64" s="126" t="s">
        <v>116</v>
      </c>
      <c r="B64" s="128">
        <v>128000</v>
      </c>
      <c r="C64" s="128">
        <v>34800</v>
      </c>
      <c r="D64" s="128">
        <v>132000</v>
      </c>
      <c r="E64" s="129">
        <f t="shared" si="7"/>
        <v>4000</v>
      </c>
    </row>
    <row r="65" spans="1:7" ht="15.75">
      <c r="A65" s="126" t="s">
        <v>117</v>
      </c>
      <c r="B65" s="128">
        <v>155000</v>
      </c>
      <c r="C65" s="128">
        <v>177100</v>
      </c>
      <c r="D65" s="128">
        <v>155000</v>
      </c>
      <c r="E65" s="129">
        <f t="shared" si="7"/>
        <v>0</v>
      </c>
    </row>
    <row r="66" spans="1:7" ht="15.75">
      <c r="A66" s="126" t="s">
        <v>118</v>
      </c>
      <c r="B66" s="128">
        <v>30000</v>
      </c>
      <c r="C66" s="128">
        <v>5000</v>
      </c>
      <c r="D66" s="128">
        <v>30000</v>
      </c>
      <c r="E66" s="129">
        <f t="shared" si="7"/>
        <v>0</v>
      </c>
    </row>
    <row r="67" spans="1:7" ht="14.25" customHeight="1">
      <c r="A67" s="126" t="s">
        <v>123</v>
      </c>
      <c r="B67" s="128">
        <v>0</v>
      </c>
      <c r="C67" s="128">
        <v>0</v>
      </c>
      <c r="D67" s="128">
        <f>C67</f>
        <v>0</v>
      </c>
      <c r="E67" s="129">
        <f t="shared" si="7"/>
        <v>0</v>
      </c>
    </row>
    <row r="68" spans="1:7" ht="14.25" customHeight="1">
      <c r="A68" s="126" t="s">
        <v>126</v>
      </c>
      <c r="B68" s="128">
        <v>0</v>
      </c>
      <c r="C68" s="128">
        <v>0</v>
      </c>
      <c r="D68" s="128">
        <f>C68</f>
        <v>0</v>
      </c>
      <c r="E68" s="129">
        <f t="shared" si="7"/>
        <v>0</v>
      </c>
    </row>
    <row r="69" spans="1:7" ht="14.25" customHeight="1">
      <c r="A69" s="126" t="s">
        <v>120</v>
      </c>
      <c r="B69" s="128">
        <v>0</v>
      </c>
      <c r="C69" s="128">
        <v>0</v>
      </c>
      <c r="D69" s="128">
        <f>C69</f>
        <v>0</v>
      </c>
      <c r="E69" s="129">
        <f t="shared" si="7"/>
        <v>0</v>
      </c>
    </row>
    <row r="70" spans="1:7" ht="15.75">
      <c r="A70" s="130" t="s">
        <v>121</v>
      </c>
      <c r="B70" s="131">
        <f>SUM(B61:B69)</f>
        <v>1619000</v>
      </c>
      <c r="C70" s="131">
        <f>SUM(C61:C69)</f>
        <v>960800</v>
      </c>
      <c r="D70" s="131">
        <f>SUM(D61:D69)</f>
        <v>1480000</v>
      </c>
      <c r="E70" s="132">
        <f t="shared" si="7"/>
        <v>-139000</v>
      </c>
    </row>
    <row r="71" spans="1:7" ht="15.75">
      <c r="A71" s="246" t="s">
        <v>74</v>
      </c>
      <c r="B71" s="247"/>
      <c r="C71" s="247"/>
      <c r="D71" s="247"/>
      <c r="E71" s="247"/>
    </row>
    <row r="72" spans="1:7" ht="15.75">
      <c r="A72" s="126" t="s">
        <v>113</v>
      </c>
      <c r="B72" s="128">
        <v>159000</v>
      </c>
      <c r="C72" s="128">
        <v>125500</v>
      </c>
      <c r="D72" s="128">
        <v>189000</v>
      </c>
      <c r="E72" s="129">
        <f>D72-B72</f>
        <v>30000</v>
      </c>
    </row>
    <row r="73" spans="1:7" ht="15.75" hidden="1">
      <c r="A73" s="126" t="s">
        <v>122</v>
      </c>
      <c r="B73" s="128"/>
      <c r="C73" s="128"/>
      <c r="D73" s="134"/>
      <c r="E73" s="129">
        <f t="shared" ref="E73:E80" si="8">D73-B73</f>
        <v>0</v>
      </c>
    </row>
    <row r="74" spans="1:7" ht="15.75">
      <c r="A74" s="126" t="s">
        <v>114</v>
      </c>
      <c r="B74" s="128">
        <v>231000</v>
      </c>
      <c r="C74" s="128">
        <v>91600</v>
      </c>
      <c r="D74" s="128">
        <v>394000</v>
      </c>
      <c r="E74" s="129">
        <f t="shared" si="8"/>
        <v>163000</v>
      </c>
    </row>
    <row r="75" spans="1:7" ht="15.75">
      <c r="A75" s="126" t="s">
        <v>115</v>
      </c>
      <c r="B75" s="128">
        <v>275000</v>
      </c>
      <c r="C75" s="128">
        <v>67200</v>
      </c>
      <c r="D75" s="128">
        <v>161000</v>
      </c>
      <c r="E75" s="129">
        <f t="shared" si="8"/>
        <v>-114000</v>
      </c>
    </row>
    <row r="76" spans="1:7" ht="15.75">
      <c r="A76" s="126" t="s">
        <v>116</v>
      </c>
      <c r="B76" s="128">
        <v>115000</v>
      </c>
      <c r="C76" s="128">
        <v>40500</v>
      </c>
      <c r="D76" s="128">
        <v>134000</v>
      </c>
      <c r="E76" s="129">
        <f t="shared" si="8"/>
        <v>19000</v>
      </c>
    </row>
    <row r="77" spans="1:7" ht="15.75">
      <c r="A77" s="126" t="s">
        <v>117</v>
      </c>
      <c r="B77" s="128">
        <v>54000</v>
      </c>
      <c r="C77" s="128">
        <v>34800</v>
      </c>
      <c r="D77" s="128">
        <v>54000</v>
      </c>
      <c r="E77" s="129">
        <f t="shared" si="8"/>
        <v>0</v>
      </c>
    </row>
    <row r="78" spans="1:7" ht="15.75">
      <c r="A78" s="126" t="s">
        <v>118</v>
      </c>
      <c r="B78" s="128">
        <v>70000</v>
      </c>
      <c r="C78" s="128">
        <v>13750</v>
      </c>
      <c r="D78" s="128">
        <v>70000</v>
      </c>
      <c r="E78" s="129">
        <f t="shared" si="8"/>
        <v>0</v>
      </c>
    </row>
    <row r="79" spans="1:7" ht="15.75" hidden="1">
      <c r="A79" s="126" t="s">
        <v>119</v>
      </c>
      <c r="B79" s="128">
        <v>0</v>
      </c>
      <c r="C79" s="128"/>
      <c r="D79" s="134"/>
      <c r="E79" s="135">
        <f t="shared" si="8"/>
        <v>0</v>
      </c>
      <c r="F79" s="136"/>
      <c r="G79" s="136"/>
    </row>
    <row r="80" spans="1:7" ht="15.75" hidden="1">
      <c r="A80" s="126" t="s">
        <v>126</v>
      </c>
      <c r="B80" s="128">
        <v>0</v>
      </c>
      <c r="C80" s="128"/>
      <c r="D80" s="128"/>
      <c r="E80" s="129">
        <f t="shared" si="8"/>
        <v>0</v>
      </c>
    </row>
    <row r="81" spans="1:5" ht="15.75">
      <c r="A81" s="126" t="s">
        <v>123</v>
      </c>
      <c r="B81" s="128">
        <v>0</v>
      </c>
      <c r="C81" s="128">
        <v>273240</v>
      </c>
      <c r="D81" s="128">
        <v>273240</v>
      </c>
      <c r="E81" s="129"/>
    </row>
    <row r="82" spans="1:5" ht="15.75">
      <c r="A82" s="130" t="s">
        <v>121</v>
      </c>
      <c r="B82" s="131">
        <f>SUM(B72:B81)</f>
        <v>904000</v>
      </c>
      <c r="C82" s="131">
        <f>SUM(C72:C81)</f>
        <v>646590</v>
      </c>
      <c r="D82" s="131">
        <f>SUM(D72:D81)</f>
        <v>1275240</v>
      </c>
      <c r="E82" s="132">
        <f t="shared" ref="E82" si="9">D82-B82</f>
        <v>371240</v>
      </c>
    </row>
    <row r="83" spans="1:5" ht="15.75">
      <c r="A83" s="246" t="s">
        <v>127</v>
      </c>
      <c r="B83" s="247"/>
      <c r="C83" s="247"/>
      <c r="D83" s="247"/>
      <c r="E83" s="247"/>
    </row>
    <row r="84" spans="1:5" ht="15.75">
      <c r="A84" s="126" t="s">
        <v>113</v>
      </c>
      <c r="B84" s="128">
        <v>78000</v>
      </c>
      <c r="C84" s="128">
        <v>60300</v>
      </c>
      <c r="D84" s="128">
        <v>83000</v>
      </c>
      <c r="E84" s="129">
        <f>D84-B84</f>
        <v>5000</v>
      </c>
    </row>
    <row r="85" spans="1:5" ht="15.75" hidden="1">
      <c r="A85" s="126" t="s">
        <v>122</v>
      </c>
      <c r="B85" s="128">
        <v>0</v>
      </c>
      <c r="C85" s="128"/>
      <c r="D85" s="128"/>
      <c r="E85" s="129">
        <f t="shared" ref="E85:E95" si="10">D85-B85</f>
        <v>0</v>
      </c>
    </row>
    <row r="86" spans="1:5" ht="15.75">
      <c r="A86" s="126" t="s">
        <v>114</v>
      </c>
      <c r="B86" s="128">
        <v>50000</v>
      </c>
      <c r="C86" s="128">
        <v>11000</v>
      </c>
      <c r="D86" s="128">
        <v>79000</v>
      </c>
      <c r="E86" s="129">
        <f t="shared" si="10"/>
        <v>29000</v>
      </c>
    </row>
    <row r="87" spans="1:5" ht="15.75">
      <c r="A87" s="126" t="s">
        <v>115</v>
      </c>
      <c r="B87" s="128">
        <v>32000</v>
      </c>
      <c r="C87" s="128">
        <v>37600</v>
      </c>
      <c r="D87" s="128">
        <v>28000</v>
      </c>
      <c r="E87" s="129">
        <f t="shared" si="10"/>
        <v>-4000</v>
      </c>
    </row>
    <row r="88" spans="1:5" ht="15.75">
      <c r="A88" s="126" t="s">
        <v>116</v>
      </c>
      <c r="B88" s="128">
        <v>25000</v>
      </c>
      <c r="C88" s="128">
        <v>5000</v>
      </c>
      <c r="D88" s="128">
        <v>25000</v>
      </c>
      <c r="E88" s="129">
        <f t="shared" si="10"/>
        <v>0</v>
      </c>
    </row>
    <row r="89" spans="1:5" ht="15.75">
      <c r="A89" s="126" t="s">
        <v>117</v>
      </c>
      <c r="B89" s="128">
        <v>110500</v>
      </c>
      <c r="C89" s="128">
        <v>116500</v>
      </c>
      <c r="D89" s="128">
        <v>110500</v>
      </c>
      <c r="E89" s="129">
        <f t="shared" si="10"/>
        <v>0</v>
      </c>
    </row>
    <row r="90" spans="1:5" ht="15.75">
      <c r="A90" s="126" t="s">
        <v>118</v>
      </c>
      <c r="B90" s="128">
        <v>25000</v>
      </c>
      <c r="C90" s="128">
        <v>29900</v>
      </c>
      <c r="D90" s="128">
        <v>30000</v>
      </c>
      <c r="E90" s="129">
        <f t="shared" si="10"/>
        <v>5000</v>
      </c>
    </row>
    <row r="91" spans="1:5" ht="15.75" hidden="1">
      <c r="A91" s="126" t="s">
        <v>119</v>
      </c>
      <c r="B91" s="128">
        <v>0</v>
      </c>
      <c r="C91" s="128"/>
      <c r="D91" s="128">
        <f>C91</f>
        <v>0</v>
      </c>
      <c r="E91" s="129">
        <f t="shared" si="10"/>
        <v>0</v>
      </c>
    </row>
    <row r="92" spans="1:5" ht="15.75" hidden="1">
      <c r="A92" s="126" t="s">
        <v>128</v>
      </c>
      <c r="B92" s="128">
        <v>0</v>
      </c>
      <c r="C92" s="128"/>
      <c r="D92" s="128">
        <f>C92</f>
        <v>0</v>
      </c>
      <c r="E92" s="129"/>
    </row>
    <row r="93" spans="1:5" ht="15.75" hidden="1">
      <c r="A93" s="126" t="s">
        <v>129</v>
      </c>
      <c r="B93" s="128">
        <v>0</v>
      </c>
      <c r="C93" s="128"/>
      <c r="D93" s="128">
        <f>C93</f>
        <v>0</v>
      </c>
      <c r="E93" s="129">
        <f t="shared" si="10"/>
        <v>0</v>
      </c>
    </row>
    <row r="94" spans="1:5" ht="15.75" hidden="1">
      <c r="A94" s="126" t="s">
        <v>126</v>
      </c>
      <c r="B94" s="128">
        <v>0</v>
      </c>
      <c r="C94" s="128"/>
      <c r="D94" s="128">
        <f>C94</f>
        <v>0</v>
      </c>
      <c r="E94" s="129">
        <f t="shared" si="10"/>
        <v>0</v>
      </c>
    </row>
    <row r="95" spans="1:5" ht="15.75" hidden="1">
      <c r="A95" s="126" t="s">
        <v>130</v>
      </c>
      <c r="B95" s="128">
        <v>0</v>
      </c>
      <c r="C95" s="128"/>
      <c r="D95" s="128">
        <v>0</v>
      </c>
      <c r="E95" s="129">
        <f t="shared" si="10"/>
        <v>0</v>
      </c>
    </row>
    <row r="96" spans="1:5" ht="15.75">
      <c r="A96" s="126" t="s">
        <v>120</v>
      </c>
      <c r="B96" s="128"/>
      <c r="C96" s="128"/>
      <c r="D96" s="128"/>
      <c r="E96" s="129"/>
    </row>
    <row r="97" spans="1:5" ht="15.75">
      <c r="A97" s="130" t="s">
        <v>121</v>
      </c>
      <c r="B97" s="131">
        <f>SUM(B84:B96)</f>
        <v>320500</v>
      </c>
      <c r="C97" s="131">
        <f>SUM(C84:C96)</f>
        <v>260300</v>
      </c>
      <c r="D97" s="131">
        <f>SUM(D84:D95)</f>
        <v>355500</v>
      </c>
      <c r="E97" s="132">
        <f>D97-B97</f>
        <v>35000</v>
      </c>
    </row>
    <row r="99" spans="1:5" ht="15">
      <c r="A99" s="137"/>
      <c r="D99" s="138">
        <f>D97+D82+D70+D59+D49+D36+D24+D13</f>
        <v>38665060</v>
      </c>
    </row>
  </sheetData>
  <mergeCells count="8">
    <mergeCell ref="A71:E71"/>
    <mergeCell ref="A83:E83"/>
    <mergeCell ref="A4:E4"/>
    <mergeCell ref="A14:E14"/>
    <mergeCell ref="A25:E25"/>
    <mergeCell ref="A37:E37"/>
    <mergeCell ref="A50:E50"/>
    <mergeCell ref="A60:E6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X20"/>
  <sheetViews>
    <sheetView zoomScale="87" zoomScaleNormal="87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24" sqref="F24"/>
    </sheetView>
  </sheetViews>
  <sheetFormatPr defaultRowHeight="15.75"/>
  <cols>
    <col min="1" max="1" width="28.5703125" style="158" customWidth="1"/>
    <col min="2" max="2" width="7.7109375" style="159" customWidth="1"/>
    <col min="3" max="3" width="11.42578125" style="189" customWidth="1"/>
    <col min="4" max="4" width="20.7109375" style="190" customWidth="1"/>
    <col min="5" max="5" width="11.5703125" style="43" customWidth="1"/>
    <col min="6" max="6" width="15.42578125" style="167" customWidth="1"/>
    <col min="7" max="7" width="13.140625" style="43" customWidth="1"/>
    <col min="8" max="8" width="14.42578125" style="167" customWidth="1"/>
    <col min="9" max="9" width="11" style="43" customWidth="1"/>
    <col min="10" max="10" width="13.140625" style="167" customWidth="1"/>
    <col min="11" max="11" width="7.7109375" style="43" customWidth="1"/>
    <col min="12" max="12" width="11.42578125" style="167" customWidth="1"/>
    <col min="13" max="13" width="20.85546875" style="179" customWidth="1"/>
    <col min="14" max="14" width="15.85546875" style="167" customWidth="1"/>
    <col min="15" max="15" width="18.42578125" style="167" customWidth="1"/>
    <col min="16" max="16" width="15.140625" style="167" customWidth="1"/>
    <col min="17" max="17" width="16.85546875" style="43" customWidth="1"/>
    <col min="18" max="18" width="17" style="167" customWidth="1"/>
    <col min="19" max="19" width="13.85546875" style="43" customWidth="1"/>
    <col min="20" max="20" width="14.5703125" style="43" customWidth="1"/>
    <col min="21" max="21" width="11" style="43" customWidth="1"/>
    <col min="22" max="22" width="11" style="167" customWidth="1"/>
    <col min="23" max="23" width="12.42578125" style="43" customWidth="1"/>
    <col min="24" max="24" width="20.7109375" style="43" customWidth="1"/>
    <col min="25" max="243" width="9.140625" style="43"/>
    <col min="244" max="244" width="28.5703125" style="43" customWidth="1"/>
    <col min="245" max="247" width="7.7109375" style="43" customWidth="1"/>
    <col min="248" max="248" width="6.5703125" style="43" customWidth="1"/>
    <col min="249" max="249" width="13.42578125" style="43" customWidth="1"/>
    <col min="250" max="250" width="10.5703125" style="43" customWidth="1"/>
    <col min="251" max="251" width="7.7109375" style="43" customWidth="1"/>
    <col min="252" max="252" width="9.5703125" style="43" customWidth="1"/>
    <col min="253" max="257" width="7.7109375" style="43" customWidth="1"/>
    <col min="258" max="258" width="13.85546875" style="43" customWidth="1"/>
    <col min="259" max="259" width="14.140625" style="43" customWidth="1"/>
    <col min="260" max="261" width="7.7109375" style="43" customWidth="1"/>
    <col min="262" max="262" width="10.140625" style="43" customWidth="1"/>
    <col min="263" max="263" width="7.7109375" style="43" customWidth="1"/>
    <col min="264" max="264" width="8.85546875" style="43" customWidth="1"/>
    <col min="265" max="265" width="7.7109375" style="43" customWidth="1"/>
    <col min="266" max="266" width="9.7109375" style="43" customWidth="1"/>
    <col min="267" max="267" width="16.7109375" style="43" customWidth="1"/>
    <col min="268" max="268" width="11.42578125" style="43" customWidth="1"/>
    <col min="269" max="272" width="0" style="43" hidden="1" customWidth="1"/>
    <col min="273" max="273" width="8.42578125" style="43" customWidth="1"/>
    <col min="274" max="275" width="9" style="43" customWidth="1"/>
    <col min="276" max="276" width="9.85546875" style="43" customWidth="1"/>
    <col min="277" max="277" width="15.42578125" style="43" customWidth="1"/>
    <col min="278" max="499" width="9.140625" style="43"/>
    <col min="500" max="500" width="28.5703125" style="43" customWidth="1"/>
    <col min="501" max="503" width="7.7109375" style="43" customWidth="1"/>
    <col min="504" max="504" width="6.5703125" style="43" customWidth="1"/>
    <col min="505" max="505" width="13.42578125" style="43" customWidth="1"/>
    <col min="506" max="506" width="10.5703125" style="43" customWidth="1"/>
    <col min="507" max="507" width="7.7109375" style="43" customWidth="1"/>
    <col min="508" max="508" width="9.5703125" style="43" customWidth="1"/>
    <col min="509" max="513" width="7.7109375" style="43" customWidth="1"/>
    <col min="514" max="514" width="13.85546875" style="43" customWidth="1"/>
    <col min="515" max="515" width="14.140625" style="43" customWidth="1"/>
    <col min="516" max="517" width="7.7109375" style="43" customWidth="1"/>
    <col min="518" max="518" width="10.140625" style="43" customWidth="1"/>
    <col min="519" max="519" width="7.7109375" style="43" customWidth="1"/>
    <col min="520" max="520" width="8.85546875" style="43" customWidth="1"/>
    <col min="521" max="521" width="7.7109375" style="43" customWidth="1"/>
    <col min="522" max="522" width="9.7109375" style="43" customWidth="1"/>
    <col min="523" max="523" width="16.7109375" style="43" customWidth="1"/>
    <col min="524" max="524" width="11.42578125" style="43" customWidth="1"/>
    <col min="525" max="528" width="0" style="43" hidden="1" customWidth="1"/>
    <col min="529" max="529" width="8.42578125" style="43" customWidth="1"/>
    <col min="530" max="531" width="9" style="43" customWidth="1"/>
    <col min="532" max="532" width="9.85546875" style="43" customWidth="1"/>
    <col min="533" max="533" width="15.42578125" style="43" customWidth="1"/>
    <col min="534" max="755" width="9.140625" style="43"/>
    <col min="756" max="756" width="28.5703125" style="43" customWidth="1"/>
    <col min="757" max="759" width="7.7109375" style="43" customWidth="1"/>
    <col min="760" max="760" width="6.5703125" style="43" customWidth="1"/>
    <col min="761" max="761" width="13.42578125" style="43" customWidth="1"/>
    <col min="762" max="762" width="10.5703125" style="43" customWidth="1"/>
    <col min="763" max="763" width="7.7109375" style="43" customWidth="1"/>
    <col min="764" max="764" width="9.5703125" style="43" customWidth="1"/>
    <col min="765" max="769" width="7.7109375" style="43" customWidth="1"/>
    <col min="770" max="770" width="13.85546875" style="43" customWidth="1"/>
    <col min="771" max="771" width="14.140625" style="43" customWidth="1"/>
    <col min="772" max="773" width="7.7109375" style="43" customWidth="1"/>
    <col min="774" max="774" width="10.140625" style="43" customWidth="1"/>
    <col min="775" max="775" width="7.7109375" style="43" customWidth="1"/>
    <col min="776" max="776" width="8.85546875" style="43" customWidth="1"/>
    <col min="777" max="777" width="7.7109375" style="43" customWidth="1"/>
    <col min="778" max="778" width="9.7109375" style="43" customWidth="1"/>
    <col min="779" max="779" width="16.7109375" style="43" customWidth="1"/>
    <col min="780" max="780" width="11.42578125" style="43" customWidth="1"/>
    <col min="781" max="784" width="0" style="43" hidden="1" customWidth="1"/>
    <col min="785" max="785" width="8.42578125" style="43" customWidth="1"/>
    <col min="786" max="787" width="9" style="43" customWidth="1"/>
    <col min="788" max="788" width="9.85546875" style="43" customWidth="1"/>
    <col min="789" max="789" width="15.42578125" style="43" customWidth="1"/>
    <col min="790" max="1011" width="9.140625" style="43"/>
    <col min="1012" max="1012" width="28.5703125" style="43" customWidth="1"/>
    <col min="1013" max="1015" width="7.7109375" style="43" customWidth="1"/>
    <col min="1016" max="1016" width="6.5703125" style="43" customWidth="1"/>
    <col min="1017" max="1017" width="13.42578125" style="43" customWidth="1"/>
    <col min="1018" max="1018" width="10.5703125" style="43" customWidth="1"/>
    <col min="1019" max="1019" width="7.7109375" style="43" customWidth="1"/>
    <col min="1020" max="1020" width="9.5703125" style="43" customWidth="1"/>
    <col min="1021" max="1025" width="7.7109375" style="43" customWidth="1"/>
    <col min="1026" max="1026" width="13.85546875" style="43" customWidth="1"/>
    <col min="1027" max="1027" width="14.140625" style="43" customWidth="1"/>
    <col min="1028" max="1029" width="7.7109375" style="43" customWidth="1"/>
    <col min="1030" max="1030" width="10.140625" style="43" customWidth="1"/>
    <col min="1031" max="1031" width="7.7109375" style="43" customWidth="1"/>
    <col min="1032" max="1032" width="8.85546875" style="43" customWidth="1"/>
    <col min="1033" max="1033" width="7.7109375" style="43" customWidth="1"/>
    <col min="1034" max="1034" width="9.7109375" style="43" customWidth="1"/>
    <col min="1035" max="1035" width="16.7109375" style="43" customWidth="1"/>
    <col min="1036" max="1036" width="11.42578125" style="43" customWidth="1"/>
    <col min="1037" max="1040" width="0" style="43" hidden="1" customWidth="1"/>
    <col min="1041" max="1041" width="8.42578125" style="43" customWidth="1"/>
    <col min="1042" max="1043" width="9" style="43" customWidth="1"/>
    <col min="1044" max="1044" width="9.85546875" style="43" customWidth="1"/>
    <col min="1045" max="1045" width="15.42578125" style="43" customWidth="1"/>
    <col min="1046" max="1267" width="9.140625" style="43"/>
    <col min="1268" max="1268" width="28.5703125" style="43" customWidth="1"/>
    <col min="1269" max="1271" width="7.7109375" style="43" customWidth="1"/>
    <col min="1272" max="1272" width="6.5703125" style="43" customWidth="1"/>
    <col min="1273" max="1273" width="13.42578125" style="43" customWidth="1"/>
    <col min="1274" max="1274" width="10.5703125" style="43" customWidth="1"/>
    <col min="1275" max="1275" width="7.7109375" style="43" customWidth="1"/>
    <col min="1276" max="1276" width="9.5703125" style="43" customWidth="1"/>
    <col min="1277" max="1281" width="7.7109375" style="43" customWidth="1"/>
    <col min="1282" max="1282" width="13.85546875" style="43" customWidth="1"/>
    <col min="1283" max="1283" width="14.140625" style="43" customWidth="1"/>
    <col min="1284" max="1285" width="7.7109375" style="43" customWidth="1"/>
    <col min="1286" max="1286" width="10.140625" style="43" customWidth="1"/>
    <col min="1287" max="1287" width="7.7109375" style="43" customWidth="1"/>
    <col min="1288" max="1288" width="8.85546875" style="43" customWidth="1"/>
    <col min="1289" max="1289" width="7.7109375" style="43" customWidth="1"/>
    <col min="1290" max="1290" width="9.7109375" style="43" customWidth="1"/>
    <col min="1291" max="1291" width="16.7109375" style="43" customWidth="1"/>
    <col min="1292" max="1292" width="11.42578125" style="43" customWidth="1"/>
    <col min="1293" max="1296" width="0" style="43" hidden="1" customWidth="1"/>
    <col min="1297" max="1297" width="8.42578125" style="43" customWidth="1"/>
    <col min="1298" max="1299" width="9" style="43" customWidth="1"/>
    <col min="1300" max="1300" width="9.85546875" style="43" customWidth="1"/>
    <col min="1301" max="1301" width="15.42578125" style="43" customWidth="1"/>
    <col min="1302" max="1523" width="9.140625" style="43"/>
    <col min="1524" max="1524" width="28.5703125" style="43" customWidth="1"/>
    <col min="1525" max="1527" width="7.7109375" style="43" customWidth="1"/>
    <col min="1528" max="1528" width="6.5703125" style="43" customWidth="1"/>
    <col min="1529" max="1529" width="13.42578125" style="43" customWidth="1"/>
    <col min="1530" max="1530" width="10.5703125" style="43" customWidth="1"/>
    <col min="1531" max="1531" width="7.7109375" style="43" customWidth="1"/>
    <col min="1532" max="1532" width="9.5703125" style="43" customWidth="1"/>
    <col min="1533" max="1537" width="7.7109375" style="43" customWidth="1"/>
    <col min="1538" max="1538" width="13.85546875" style="43" customWidth="1"/>
    <col min="1539" max="1539" width="14.140625" style="43" customWidth="1"/>
    <col min="1540" max="1541" width="7.7109375" style="43" customWidth="1"/>
    <col min="1542" max="1542" width="10.140625" style="43" customWidth="1"/>
    <col min="1543" max="1543" width="7.7109375" style="43" customWidth="1"/>
    <col min="1544" max="1544" width="8.85546875" style="43" customWidth="1"/>
    <col min="1545" max="1545" width="7.7109375" style="43" customWidth="1"/>
    <col min="1546" max="1546" width="9.7109375" style="43" customWidth="1"/>
    <col min="1547" max="1547" width="16.7109375" style="43" customWidth="1"/>
    <col min="1548" max="1548" width="11.42578125" style="43" customWidth="1"/>
    <col min="1549" max="1552" width="0" style="43" hidden="1" customWidth="1"/>
    <col min="1553" max="1553" width="8.42578125" style="43" customWidth="1"/>
    <col min="1554" max="1555" width="9" style="43" customWidth="1"/>
    <col min="1556" max="1556" width="9.85546875" style="43" customWidth="1"/>
    <col min="1557" max="1557" width="15.42578125" style="43" customWidth="1"/>
    <col min="1558" max="1779" width="9.140625" style="43"/>
    <col min="1780" max="1780" width="28.5703125" style="43" customWidth="1"/>
    <col min="1781" max="1783" width="7.7109375" style="43" customWidth="1"/>
    <col min="1784" max="1784" width="6.5703125" style="43" customWidth="1"/>
    <col min="1785" max="1785" width="13.42578125" style="43" customWidth="1"/>
    <col min="1786" max="1786" width="10.5703125" style="43" customWidth="1"/>
    <col min="1787" max="1787" width="7.7109375" style="43" customWidth="1"/>
    <col min="1788" max="1788" width="9.5703125" style="43" customWidth="1"/>
    <col min="1789" max="1793" width="7.7109375" style="43" customWidth="1"/>
    <col min="1794" max="1794" width="13.85546875" style="43" customWidth="1"/>
    <col min="1795" max="1795" width="14.140625" style="43" customWidth="1"/>
    <col min="1796" max="1797" width="7.7109375" style="43" customWidth="1"/>
    <col min="1798" max="1798" width="10.140625" style="43" customWidth="1"/>
    <col min="1799" max="1799" width="7.7109375" style="43" customWidth="1"/>
    <col min="1800" max="1800" width="8.85546875" style="43" customWidth="1"/>
    <col min="1801" max="1801" width="7.7109375" style="43" customWidth="1"/>
    <col min="1802" max="1802" width="9.7109375" style="43" customWidth="1"/>
    <col min="1803" max="1803" width="16.7109375" style="43" customWidth="1"/>
    <col min="1804" max="1804" width="11.42578125" style="43" customWidth="1"/>
    <col min="1805" max="1808" width="0" style="43" hidden="1" customWidth="1"/>
    <col min="1809" max="1809" width="8.42578125" style="43" customWidth="1"/>
    <col min="1810" max="1811" width="9" style="43" customWidth="1"/>
    <col min="1812" max="1812" width="9.85546875" style="43" customWidth="1"/>
    <col min="1813" max="1813" width="15.42578125" style="43" customWidth="1"/>
    <col min="1814" max="2035" width="9.140625" style="43"/>
    <col min="2036" max="2036" width="28.5703125" style="43" customWidth="1"/>
    <col min="2037" max="2039" width="7.7109375" style="43" customWidth="1"/>
    <col min="2040" max="2040" width="6.5703125" style="43" customWidth="1"/>
    <col min="2041" max="2041" width="13.42578125" style="43" customWidth="1"/>
    <col min="2042" max="2042" width="10.5703125" style="43" customWidth="1"/>
    <col min="2043" max="2043" width="7.7109375" style="43" customWidth="1"/>
    <col min="2044" max="2044" width="9.5703125" style="43" customWidth="1"/>
    <col min="2045" max="2049" width="7.7109375" style="43" customWidth="1"/>
    <col min="2050" max="2050" width="13.85546875" style="43" customWidth="1"/>
    <col min="2051" max="2051" width="14.140625" style="43" customWidth="1"/>
    <col min="2052" max="2053" width="7.7109375" style="43" customWidth="1"/>
    <col min="2054" max="2054" width="10.140625" style="43" customWidth="1"/>
    <col min="2055" max="2055" width="7.7109375" style="43" customWidth="1"/>
    <col min="2056" max="2056" width="8.85546875" style="43" customWidth="1"/>
    <col min="2057" max="2057" width="7.7109375" style="43" customWidth="1"/>
    <col min="2058" max="2058" width="9.7109375" style="43" customWidth="1"/>
    <col min="2059" max="2059" width="16.7109375" style="43" customWidth="1"/>
    <col min="2060" max="2060" width="11.42578125" style="43" customWidth="1"/>
    <col min="2061" max="2064" width="0" style="43" hidden="1" customWidth="1"/>
    <col min="2065" max="2065" width="8.42578125" style="43" customWidth="1"/>
    <col min="2066" max="2067" width="9" style="43" customWidth="1"/>
    <col min="2068" max="2068" width="9.85546875" style="43" customWidth="1"/>
    <col min="2069" max="2069" width="15.42578125" style="43" customWidth="1"/>
    <col min="2070" max="2291" width="9.140625" style="43"/>
    <col min="2292" max="2292" width="28.5703125" style="43" customWidth="1"/>
    <col min="2293" max="2295" width="7.7109375" style="43" customWidth="1"/>
    <col min="2296" max="2296" width="6.5703125" style="43" customWidth="1"/>
    <col min="2297" max="2297" width="13.42578125" style="43" customWidth="1"/>
    <col min="2298" max="2298" width="10.5703125" style="43" customWidth="1"/>
    <col min="2299" max="2299" width="7.7109375" style="43" customWidth="1"/>
    <col min="2300" max="2300" width="9.5703125" style="43" customWidth="1"/>
    <col min="2301" max="2305" width="7.7109375" style="43" customWidth="1"/>
    <col min="2306" max="2306" width="13.85546875" style="43" customWidth="1"/>
    <col min="2307" max="2307" width="14.140625" style="43" customWidth="1"/>
    <col min="2308" max="2309" width="7.7109375" style="43" customWidth="1"/>
    <col min="2310" max="2310" width="10.140625" style="43" customWidth="1"/>
    <col min="2311" max="2311" width="7.7109375" style="43" customWidth="1"/>
    <col min="2312" max="2312" width="8.85546875" style="43" customWidth="1"/>
    <col min="2313" max="2313" width="7.7109375" style="43" customWidth="1"/>
    <col min="2314" max="2314" width="9.7109375" style="43" customWidth="1"/>
    <col min="2315" max="2315" width="16.7109375" style="43" customWidth="1"/>
    <col min="2316" max="2316" width="11.42578125" style="43" customWidth="1"/>
    <col min="2317" max="2320" width="0" style="43" hidden="1" customWidth="1"/>
    <col min="2321" max="2321" width="8.42578125" style="43" customWidth="1"/>
    <col min="2322" max="2323" width="9" style="43" customWidth="1"/>
    <col min="2324" max="2324" width="9.85546875" style="43" customWidth="1"/>
    <col min="2325" max="2325" width="15.42578125" style="43" customWidth="1"/>
    <col min="2326" max="2547" width="9.140625" style="43"/>
    <col min="2548" max="2548" width="28.5703125" style="43" customWidth="1"/>
    <col min="2549" max="2551" width="7.7109375" style="43" customWidth="1"/>
    <col min="2552" max="2552" width="6.5703125" style="43" customWidth="1"/>
    <col min="2553" max="2553" width="13.42578125" style="43" customWidth="1"/>
    <col min="2554" max="2554" width="10.5703125" style="43" customWidth="1"/>
    <col min="2555" max="2555" width="7.7109375" style="43" customWidth="1"/>
    <col min="2556" max="2556" width="9.5703125" style="43" customWidth="1"/>
    <col min="2557" max="2561" width="7.7109375" style="43" customWidth="1"/>
    <col min="2562" max="2562" width="13.85546875" style="43" customWidth="1"/>
    <col min="2563" max="2563" width="14.140625" style="43" customWidth="1"/>
    <col min="2564" max="2565" width="7.7109375" style="43" customWidth="1"/>
    <col min="2566" max="2566" width="10.140625" style="43" customWidth="1"/>
    <col min="2567" max="2567" width="7.7109375" style="43" customWidth="1"/>
    <col min="2568" max="2568" width="8.85546875" style="43" customWidth="1"/>
    <col min="2569" max="2569" width="7.7109375" style="43" customWidth="1"/>
    <col min="2570" max="2570" width="9.7109375" style="43" customWidth="1"/>
    <col min="2571" max="2571" width="16.7109375" style="43" customWidth="1"/>
    <col min="2572" max="2572" width="11.42578125" style="43" customWidth="1"/>
    <col min="2573" max="2576" width="0" style="43" hidden="1" customWidth="1"/>
    <col min="2577" max="2577" width="8.42578125" style="43" customWidth="1"/>
    <col min="2578" max="2579" width="9" style="43" customWidth="1"/>
    <col min="2580" max="2580" width="9.85546875" style="43" customWidth="1"/>
    <col min="2581" max="2581" width="15.42578125" style="43" customWidth="1"/>
    <col min="2582" max="2803" width="9.140625" style="43"/>
    <col min="2804" max="2804" width="28.5703125" style="43" customWidth="1"/>
    <col min="2805" max="2807" width="7.7109375" style="43" customWidth="1"/>
    <col min="2808" max="2808" width="6.5703125" style="43" customWidth="1"/>
    <col min="2809" max="2809" width="13.42578125" style="43" customWidth="1"/>
    <col min="2810" max="2810" width="10.5703125" style="43" customWidth="1"/>
    <col min="2811" max="2811" width="7.7109375" style="43" customWidth="1"/>
    <col min="2812" max="2812" width="9.5703125" style="43" customWidth="1"/>
    <col min="2813" max="2817" width="7.7109375" style="43" customWidth="1"/>
    <col min="2818" max="2818" width="13.85546875" style="43" customWidth="1"/>
    <col min="2819" max="2819" width="14.140625" style="43" customWidth="1"/>
    <col min="2820" max="2821" width="7.7109375" style="43" customWidth="1"/>
    <col min="2822" max="2822" width="10.140625" style="43" customWidth="1"/>
    <col min="2823" max="2823" width="7.7109375" style="43" customWidth="1"/>
    <col min="2824" max="2824" width="8.85546875" style="43" customWidth="1"/>
    <col min="2825" max="2825" width="7.7109375" style="43" customWidth="1"/>
    <col min="2826" max="2826" width="9.7109375" style="43" customWidth="1"/>
    <col min="2827" max="2827" width="16.7109375" style="43" customWidth="1"/>
    <col min="2828" max="2828" width="11.42578125" style="43" customWidth="1"/>
    <col min="2829" max="2832" width="0" style="43" hidden="1" customWidth="1"/>
    <col min="2833" max="2833" width="8.42578125" style="43" customWidth="1"/>
    <col min="2834" max="2835" width="9" style="43" customWidth="1"/>
    <col min="2836" max="2836" width="9.85546875" style="43" customWidth="1"/>
    <col min="2837" max="2837" width="15.42578125" style="43" customWidth="1"/>
    <col min="2838" max="3059" width="9.140625" style="43"/>
    <col min="3060" max="3060" width="28.5703125" style="43" customWidth="1"/>
    <col min="3061" max="3063" width="7.7109375" style="43" customWidth="1"/>
    <col min="3064" max="3064" width="6.5703125" style="43" customWidth="1"/>
    <col min="3065" max="3065" width="13.42578125" style="43" customWidth="1"/>
    <col min="3066" max="3066" width="10.5703125" style="43" customWidth="1"/>
    <col min="3067" max="3067" width="7.7109375" style="43" customWidth="1"/>
    <col min="3068" max="3068" width="9.5703125" style="43" customWidth="1"/>
    <col min="3069" max="3073" width="7.7109375" style="43" customWidth="1"/>
    <col min="3074" max="3074" width="13.85546875" style="43" customWidth="1"/>
    <col min="3075" max="3075" width="14.140625" style="43" customWidth="1"/>
    <col min="3076" max="3077" width="7.7109375" style="43" customWidth="1"/>
    <col min="3078" max="3078" width="10.140625" style="43" customWidth="1"/>
    <col min="3079" max="3079" width="7.7109375" style="43" customWidth="1"/>
    <col min="3080" max="3080" width="8.85546875" style="43" customWidth="1"/>
    <col min="3081" max="3081" width="7.7109375" style="43" customWidth="1"/>
    <col min="3082" max="3082" width="9.7109375" style="43" customWidth="1"/>
    <col min="3083" max="3083" width="16.7109375" style="43" customWidth="1"/>
    <col min="3084" max="3084" width="11.42578125" style="43" customWidth="1"/>
    <col min="3085" max="3088" width="0" style="43" hidden="1" customWidth="1"/>
    <col min="3089" max="3089" width="8.42578125" style="43" customWidth="1"/>
    <col min="3090" max="3091" width="9" style="43" customWidth="1"/>
    <col min="3092" max="3092" width="9.85546875" style="43" customWidth="1"/>
    <col min="3093" max="3093" width="15.42578125" style="43" customWidth="1"/>
    <col min="3094" max="3315" width="9.140625" style="43"/>
    <col min="3316" max="3316" width="28.5703125" style="43" customWidth="1"/>
    <col min="3317" max="3319" width="7.7109375" style="43" customWidth="1"/>
    <col min="3320" max="3320" width="6.5703125" style="43" customWidth="1"/>
    <col min="3321" max="3321" width="13.42578125" style="43" customWidth="1"/>
    <col min="3322" max="3322" width="10.5703125" style="43" customWidth="1"/>
    <col min="3323" max="3323" width="7.7109375" style="43" customWidth="1"/>
    <col min="3324" max="3324" width="9.5703125" style="43" customWidth="1"/>
    <col min="3325" max="3329" width="7.7109375" style="43" customWidth="1"/>
    <col min="3330" max="3330" width="13.85546875" style="43" customWidth="1"/>
    <col min="3331" max="3331" width="14.140625" style="43" customWidth="1"/>
    <col min="3332" max="3333" width="7.7109375" style="43" customWidth="1"/>
    <col min="3334" max="3334" width="10.140625" style="43" customWidth="1"/>
    <col min="3335" max="3335" width="7.7109375" style="43" customWidth="1"/>
    <col min="3336" max="3336" width="8.85546875" style="43" customWidth="1"/>
    <col min="3337" max="3337" width="7.7109375" style="43" customWidth="1"/>
    <col min="3338" max="3338" width="9.7109375" style="43" customWidth="1"/>
    <col min="3339" max="3339" width="16.7109375" style="43" customWidth="1"/>
    <col min="3340" max="3340" width="11.42578125" style="43" customWidth="1"/>
    <col min="3341" max="3344" width="0" style="43" hidden="1" customWidth="1"/>
    <col min="3345" max="3345" width="8.42578125" style="43" customWidth="1"/>
    <col min="3346" max="3347" width="9" style="43" customWidth="1"/>
    <col min="3348" max="3348" width="9.85546875" style="43" customWidth="1"/>
    <col min="3349" max="3349" width="15.42578125" style="43" customWidth="1"/>
    <col min="3350" max="3571" width="9.140625" style="43"/>
    <col min="3572" max="3572" width="28.5703125" style="43" customWidth="1"/>
    <col min="3573" max="3575" width="7.7109375" style="43" customWidth="1"/>
    <col min="3576" max="3576" width="6.5703125" style="43" customWidth="1"/>
    <col min="3577" max="3577" width="13.42578125" style="43" customWidth="1"/>
    <col min="3578" max="3578" width="10.5703125" style="43" customWidth="1"/>
    <col min="3579" max="3579" width="7.7109375" style="43" customWidth="1"/>
    <col min="3580" max="3580" width="9.5703125" style="43" customWidth="1"/>
    <col min="3581" max="3585" width="7.7109375" style="43" customWidth="1"/>
    <col min="3586" max="3586" width="13.85546875" style="43" customWidth="1"/>
    <col min="3587" max="3587" width="14.140625" style="43" customWidth="1"/>
    <col min="3588" max="3589" width="7.7109375" style="43" customWidth="1"/>
    <col min="3590" max="3590" width="10.140625" style="43" customWidth="1"/>
    <col min="3591" max="3591" width="7.7109375" style="43" customWidth="1"/>
    <col min="3592" max="3592" width="8.85546875" style="43" customWidth="1"/>
    <col min="3593" max="3593" width="7.7109375" style="43" customWidth="1"/>
    <col min="3594" max="3594" width="9.7109375" style="43" customWidth="1"/>
    <col min="3595" max="3595" width="16.7109375" style="43" customWidth="1"/>
    <col min="3596" max="3596" width="11.42578125" style="43" customWidth="1"/>
    <col min="3597" max="3600" width="0" style="43" hidden="1" customWidth="1"/>
    <col min="3601" max="3601" width="8.42578125" style="43" customWidth="1"/>
    <col min="3602" max="3603" width="9" style="43" customWidth="1"/>
    <col min="3604" max="3604" width="9.85546875" style="43" customWidth="1"/>
    <col min="3605" max="3605" width="15.42578125" style="43" customWidth="1"/>
    <col min="3606" max="3827" width="9.140625" style="43"/>
    <col min="3828" max="3828" width="28.5703125" style="43" customWidth="1"/>
    <col min="3829" max="3831" width="7.7109375" style="43" customWidth="1"/>
    <col min="3832" max="3832" width="6.5703125" style="43" customWidth="1"/>
    <col min="3833" max="3833" width="13.42578125" style="43" customWidth="1"/>
    <col min="3834" max="3834" width="10.5703125" style="43" customWidth="1"/>
    <col min="3835" max="3835" width="7.7109375" style="43" customWidth="1"/>
    <col min="3836" max="3836" width="9.5703125" style="43" customWidth="1"/>
    <col min="3837" max="3841" width="7.7109375" style="43" customWidth="1"/>
    <col min="3842" max="3842" width="13.85546875" style="43" customWidth="1"/>
    <col min="3843" max="3843" width="14.140625" style="43" customWidth="1"/>
    <col min="3844" max="3845" width="7.7109375" style="43" customWidth="1"/>
    <col min="3846" max="3846" width="10.140625" style="43" customWidth="1"/>
    <col min="3847" max="3847" width="7.7109375" style="43" customWidth="1"/>
    <col min="3848" max="3848" width="8.85546875" style="43" customWidth="1"/>
    <col min="3849" max="3849" width="7.7109375" style="43" customWidth="1"/>
    <col min="3850" max="3850" width="9.7109375" style="43" customWidth="1"/>
    <col min="3851" max="3851" width="16.7109375" style="43" customWidth="1"/>
    <col min="3852" max="3852" width="11.42578125" style="43" customWidth="1"/>
    <col min="3853" max="3856" width="0" style="43" hidden="1" customWidth="1"/>
    <col min="3857" max="3857" width="8.42578125" style="43" customWidth="1"/>
    <col min="3858" max="3859" width="9" style="43" customWidth="1"/>
    <col min="3860" max="3860" width="9.85546875" style="43" customWidth="1"/>
    <col min="3861" max="3861" width="15.42578125" style="43" customWidth="1"/>
    <col min="3862" max="4083" width="9.140625" style="43"/>
    <col min="4084" max="4084" width="28.5703125" style="43" customWidth="1"/>
    <col min="4085" max="4087" width="7.7109375" style="43" customWidth="1"/>
    <col min="4088" max="4088" width="6.5703125" style="43" customWidth="1"/>
    <col min="4089" max="4089" width="13.42578125" style="43" customWidth="1"/>
    <col min="4090" max="4090" width="10.5703125" style="43" customWidth="1"/>
    <col min="4091" max="4091" width="7.7109375" style="43" customWidth="1"/>
    <col min="4092" max="4092" width="9.5703125" style="43" customWidth="1"/>
    <col min="4093" max="4097" width="7.7109375" style="43" customWidth="1"/>
    <col min="4098" max="4098" width="13.85546875" style="43" customWidth="1"/>
    <col min="4099" max="4099" width="14.140625" style="43" customWidth="1"/>
    <col min="4100" max="4101" width="7.7109375" style="43" customWidth="1"/>
    <col min="4102" max="4102" width="10.140625" style="43" customWidth="1"/>
    <col min="4103" max="4103" width="7.7109375" style="43" customWidth="1"/>
    <col min="4104" max="4104" width="8.85546875" style="43" customWidth="1"/>
    <col min="4105" max="4105" width="7.7109375" style="43" customWidth="1"/>
    <col min="4106" max="4106" width="9.7109375" style="43" customWidth="1"/>
    <col min="4107" max="4107" width="16.7109375" style="43" customWidth="1"/>
    <col min="4108" max="4108" width="11.42578125" style="43" customWidth="1"/>
    <col min="4109" max="4112" width="0" style="43" hidden="1" customWidth="1"/>
    <col min="4113" max="4113" width="8.42578125" style="43" customWidth="1"/>
    <col min="4114" max="4115" width="9" style="43" customWidth="1"/>
    <col min="4116" max="4116" width="9.85546875" style="43" customWidth="1"/>
    <col min="4117" max="4117" width="15.42578125" style="43" customWidth="1"/>
    <col min="4118" max="4339" width="9.140625" style="43"/>
    <col min="4340" max="4340" width="28.5703125" style="43" customWidth="1"/>
    <col min="4341" max="4343" width="7.7109375" style="43" customWidth="1"/>
    <col min="4344" max="4344" width="6.5703125" style="43" customWidth="1"/>
    <col min="4345" max="4345" width="13.42578125" style="43" customWidth="1"/>
    <col min="4346" max="4346" width="10.5703125" style="43" customWidth="1"/>
    <col min="4347" max="4347" width="7.7109375" style="43" customWidth="1"/>
    <col min="4348" max="4348" width="9.5703125" style="43" customWidth="1"/>
    <col min="4349" max="4353" width="7.7109375" style="43" customWidth="1"/>
    <col min="4354" max="4354" width="13.85546875" style="43" customWidth="1"/>
    <col min="4355" max="4355" width="14.140625" style="43" customWidth="1"/>
    <col min="4356" max="4357" width="7.7109375" style="43" customWidth="1"/>
    <col min="4358" max="4358" width="10.140625" style="43" customWidth="1"/>
    <col min="4359" max="4359" width="7.7109375" style="43" customWidth="1"/>
    <col min="4360" max="4360" width="8.85546875" style="43" customWidth="1"/>
    <col min="4361" max="4361" width="7.7109375" style="43" customWidth="1"/>
    <col min="4362" max="4362" width="9.7109375" style="43" customWidth="1"/>
    <col min="4363" max="4363" width="16.7109375" style="43" customWidth="1"/>
    <col min="4364" max="4364" width="11.42578125" style="43" customWidth="1"/>
    <col min="4365" max="4368" width="0" style="43" hidden="1" customWidth="1"/>
    <col min="4369" max="4369" width="8.42578125" style="43" customWidth="1"/>
    <col min="4370" max="4371" width="9" style="43" customWidth="1"/>
    <col min="4372" max="4372" width="9.85546875" style="43" customWidth="1"/>
    <col min="4373" max="4373" width="15.42578125" style="43" customWidth="1"/>
    <col min="4374" max="4595" width="9.140625" style="43"/>
    <col min="4596" max="4596" width="28.5703125" style="43" customWidth="1"/>
    <col min="4597" max="4599" width="7.7109375" style="43" customWidth="1"/>
    <col min="4600" max="4600" width="6.5703125" style="43" customWidth="1"/>
    <col min="4601" max="4601" width="13.42578125" style="43" customWidth="1"/>
    <col min="4602" max="4602" width="10.5703125" style="43" customWidth="1"/>
    <col min="4603" max="4603" width="7.7109375" style="43" customWidth="1"/>
    <col min="4604" max="4604" width="9.5703125" style="43" customWidth="1"/>
    <col min="4605" max="4609" width="7.7109375" style="43" customWidth="1"/>
    <col min="4610" max="4610" width="13.85546875" style="43" customWidth="1"/>
    <col min="4611" max="4611" width="14.140625" style="43" customWidth="1"/>
    <col min="4612" max="4613" width="7.7109375" style="43" customWidth="1"/>
    <col min="4614" max="4614" width="10.140625" style="43" customWidth="1"/>
    <col min="4615" max="4615" width="7.7109375" style="43" customWidth="1"/>
    <col min="4616" max="4616" width="8.85546875" style="43" customWidth="1"/>
    <col min="4617" max="4617" width="7.7109375" style="43" customWidth="1"/>
    <col min="4618" max="4618" width="9.7109375" style="43" customWidth="1"/>
    <col min="4619" max="4619" width="16.7109375" style="43" customWidth="1"/>
    <col min="4620" max="4620" width="11.42578125" style="43" customWidth="1"/>
    <col min="4621" max="4624" width="0" style="43" hidden="1" customWidth="1"/>
    <col min="4625" max="4625" width="8.42578125" style="43" customWidth="1"/>
    <col min="4626" max="4627" width="9" style="43" customWidth="1"/>
    <col min="4628" max="4628" width="9.85546875" style="43" customWidth="1"/>
    <col min="4629" max="4629" width="15.42578125" style="43" customWidth="1"/>
    <col min="4630" max="4851" width="9.140625" style="43"/>
    <col min="4852" max="4852" width="28.5703125" style="43" customWidth="1"/>
    <col min="4853" max="4855" width="7.7109375" style="43" customWidth="1"/>
    <col min="4856" max="4856" width="6.5703125" style="43" customWidth="1"/>
    <col min="4857" max="4857" width="13.42578125" style="43" customWidth="1"/>
    <col min="4858" max="4858" width="10.5703125" style="43" customWidth="1"/>
    <col min="4859" max="4859" width="7.7109375" style="43" customWidth="1"/>
    <col min="4860" max="4860" width="9.5703125" style="43" customWidth="1"/>
    <col min="4861" max="4865" width="7.7109375" style="43" customWidth="1"/>
    <col min="4866" max="4866" width="13.85546875" style="43" customWidth="1"/>
    <col min="4867" max="4867" width="14.140625" style="43" customWidth="1"/>
    <col min="4868" max="4869" width="7.7109375" style="43" customWidth="1"/>
    <col min="4870" max="4870" width="10.140625" style="43" customWidth="1"/>
    <col min="4871" max="4871" width="7.7109375" style="43" customWidth="1"/>
    <col min="4872" max="4872" width="8.85546875" style="43" customWidth="1"/>
    <col min="4873" max="4873" width="7.7109375" style="43" customWidth="1"/>
    <col min="4874" max="4874" width="9.7109375" style="43" customWidth="1"/>
    <col min="4875" max="4875" width="16.7109375" style="43" customWidth="1"/>
    <col min="4876" max="4876" width="11.42578125" style="43" customWidth="1"/>
    <col min="4877" max="4880" width="0" style="43" hidden="1" customWidth="1"/>
    <col min="4881" max="4881" width="8.42578125" style="43" customWidth="1"/>
    <col min="4882" max="4883" width="9" style="43" customWidth="1"/>
    <col min="4884" max="4884" width="9.85546875" style="43" customWidth="1"/>
    <col min="4885" max="4885" width="15.42578125" style="43" customWidth="1"/>
    <col min="4886" max="5107" width="9.140625" style="43"/>
    <col min="5108" max="5108" width="28.5703125" style="43" customWidth="1"/>
    <col min="5109" max="5111" width="7.7109375" style="43" customWidth="1"/>
    <col min="5112" max="5112" width="6.5703125" style="43" customWidth="1"/>
    <col min="5113" max="5113" width="13.42578125" style="43" customWidth="1"/>
    <col min="5114" max="5114" width="10.5703125" style="43" customWidth="1"/>
    <col min="5115" max="5115" width="7.7109375" style="43" customWidth="1"/>
    <col min="5116" max="5116" width="9.5703125" style="43" customWidth="1"/>
    <col min="5117" max="5121" width="7.7109375" style="43" customWidth="1"/>
    <col min="5122" max="5122" width="13.85546875" style="43" customWidth="1"/>
    <col min="5123" max="5123" width="14.140625" style="43" customWidth="1"/>
    <col min="5124" max="5125" width="7.7109375" style="43" customWidth="1"/>
    <col min="5126" max="5126" width="10.140625" style="43" customWidth="1"/>
    <col min="5127" max="5127" width="7.7109375" style="43" customWidth="1"/>
    <col min="5128" max="5128" width="8.85546875" style="43" customWidth="1"/>
    <col min="5129" max="5129" width="7.7109375" style="43" customWidth="1"/>
    <col min="5130" max="5130" width="9.7109375" style="43" customWidth="1"/>
    <col min="5131" max="5131" width="16.7109375" style="43" customWidth="1"/>
    <col min="5132" max="5132" width="11.42578125" style="43" customWidth="1"/>
    <col min="5133" max="5136" width="0" style="43" hidden="1" customWidth="1"/>
    <col min="5137" max="5137" width="8.42578125" style="43" customWidth="1"/>
    <col min="5138" max="5139" width="9" style="43" customWidth="1"/>
    <col min="5140" max="5140" width="9.85546875" style="43" customWidth="1"/>
    <col min="5141" max="5141" width="15.42578125" style="43" customWidth="1"/>
    <col min="5142" max="5363" width="9.140625" style="43"/>
    <col min="5364" max="5364" width="28.5703125" style="43" customWidth="1"/>
    <col min="5365" max="5367" width="7.7109375" style="43" customWidth="1"/>
    <col min="5368" max="5368" width="6.5703125" style="43" customWidth="1"/>
    <col min="5369" max="5369" width="13.42578125" style="43" customWidth="1"/>
    <col min="5370" max="5370" width="10.5703125" style="43" customWidth="1"/>
    <col min="5371" max="5371" width="7.7109375" style="43" customWidth="1"/>
    <col min="5372" max="5372" width="9.5703125" style="43" customWidth="1"/>
    <col min="5373" max="5377" width="7.7109375" style="43" customWidth="1"/>
    <col min="5378" max="5378" width="13.85546875" style="43" customWidth="1"/>
    <col min="5379" max="5379" width="14.140625" style="43" customWidth="1"/>
    <col min="5380" max="5381" width="7.7109375" style="43" customWidth="1"/>
    <col min="5382" max="5382" width="10.140625" style="43" customWidth="1"/>
    <col min="5383" max="5383" width="7.7109375" style="43" customWidth="1"/>
    <col min="5384" max="5384" width="8.85546875" style="43" customWidth="1"/>
    <col min="5385" max="5385" width="7.7109375" style="43" customWidth="1"/>
    <col min="5386" max="5386" width="9.7109375" style="43" customWidth="1"/>
    <col min="5387" max="5387" width="16.7109375" style="43" customWidth="1"/>
    <col min="5388" max="5388" width="11.42578125" style="43" customWidth="1"/>
    <col min="5389" max="5392" width="0" style="43" hidden="1" customWidth="1"/>
    <col min="5393" max="5393" width="8.42578125" style="43" customWidth="1"/>
    <col min="5394" max="5395" width="9" style="43" customWidth="1"/>
    <col min="5396" max="5396" width="9.85546875" style="43" customWidth="1"/>
    <col min="5397" max="5397" width="15.42578125" style="43" customWidth="1"/>
    <col min="5398" max="5619" width="9.140625" style="43"/>
    <col min="5620" max="5620" width="28.5703125" style="43" customWidth="1"/>
    <col min="5621" max="5623" width="7.7109375" style="43" customWidth="1"/>
    <col min="5624" max="5624" width="6.5703125" style="43" customWidth="1"/>
    <col min="5625" max="5625" width="13.42578125" style="43" customWidth="1"/>
    <col min="5626" max="5626" width="10.5703125" style="43" customWidth="1"/>
    <col min="5627" max="5627" width="7.7109375" style="43" customWidth="1"/>
    <col min="5628" max="5628" width="9.5703125" style="43" customWidth="1"/>
    <col min="5629" max="5633" width="7.7109375" style="43" customWidth="1"/>
    <col min="5634" max="5634" width="13.85546875" style="43" customWidth="1"/>
    <col min="5635" max="5635" width="14.140625" style="43" customWidth="1"/>
    <col min="5636" max="5637" width="7.7109375" style="43" customWidth="1"/>
    <col min="5638" max="5638" width="10.140625" style="43" customWidth="1"/>
    <col min="5639" max="5639" width="7.7109375" style="43" customWidth="1"/>
    <col min="5640" max="5640" width="8.85546875" style="43" customWidth="1"/>
    <col min="5641" max="5641" width="7.7109375" style="43" customWidth="1"/>
    <col min="5642" max="5642" width="9.7109375" style="43" customWidth="1"/>
    <col min="5643" max="5643" width="16.7109375" style="43" customWidth="1"/>
    <col min="5644" max="5644" width="11.42578125" style="43" customWidth="1"/>
    <col min="5645" max="5648" width="0" style="43" hidden="1" customWidth="1"/>
    <col min="5649" max="5649" width="8.42578125" style="43" customWidth="1"/>
    <col min="5650" max="5651" width="9" style="43" customWidth="1"/>
    <col min="5652" max="5652" width="9.85546875" style="43" customWidth="1"/>
    <col min="5653" max="5653" width="15.42578125" style="43" customWidth="1"/>
    <col min="5654" max="5875" width="9.140625" style="43"/>
    <col min="5876" max="5876" width="28.5703125" style="43" customWidth="1"/>
    <col min="5877" max="5879" width="7.7109375" style="43" customWidth="1"/>
    <col min="5880" max="5880" width="6.5703125" style="43" customWidth="1"/>
    <col min="5881" max="5881" width="13.42578125" style="43" customWidth="1"/>
    <col min="5882" max="5882" width="10.5703125" style="43" customWidth="1"/>
    <col min="5883" max="5883" width="7.7109375" style="43" customWidth="1"/>
    <col min="5884" max="5884" width="9.5703125" style="43" customWidth="1"/>
    <col min="5885" max="5889" width="7.7109375" style="43" customWidth="1"/>
    <col min="5890" max="5890" width="13.85546875" style="43" customWidth="1"/>
    <col min="5891" max="5891" width="14.140625" style="43" customWidth="1"/>
    <col min="5892" max="5893" width="7.7109375" style="43" customWidth="1"/>
    <col min="5894" max="5894" width="10.140625" style="43" customWidth="1"/>
    <col min="5895" max="5895" width="7.7109375" style="43" customWidth="1"/>
    <col min="5896" max="5896" width="8.85546875" style="43" customWidth="1"/>
    <col min="5897" max="5897" width="7.7109375" style="43" customWidth="1"/>
    <col min="5898" max="5898" width="9.7109375" style="43" customWidth="1"/>
    <col min="5899" max="5899" width="16.7109375" style="43" customWidth="1"/>
    <col min="5900" max="5900" width="11.42578125" style="43" customWidth="1"/>
    <col min="5901" max="5904" width="0" style="43" hidden="1" customWidth="1"/>
    <col min="5905" max="5905" width="8.42578125" style="43" customWidth="1"/>
    <col min="5906" max="5907" width="9" style="43" customWidth="1"/>
    <col min="5908" max="5908" width="9.85546875" style="43" customWidth="1"/>
    <col min="5909" max="5909" width="15.42578125" style="43" customWidth="1"/>
    <col min="5910" max="6131" width="9.140625" style="43"/>
    <col min="6132" max="6132" width="28.5703125" style="43" customWidth="1"/>
    <col min="6133" max="6135" width="7.7109375" style="43" customWidth="1"/>
    <col min="6136" max="6136" width="6.5703125" style="43" customWidth="1"/>
    <col min="6137" max="6137" width="13.42578125" style="43" customWidth="1"/>
    <col min="6138" max="6138" width="10.5703125" style="43" customWidth="1"/>
    <col min="6139" max="6139" width="7.7109375" style="43" customWidth="1"/>
    <col min="6140" max="6140" width="9.5703125" style="43" customWidth="1"/>
    <col min="6141" max="6145" width="7.7109375" style="43" customWidth="1"/>
    <col min="6146" max="6146" width="13.85546875" style="43" customWidth="1"/>
    <col min="6147" max="6147" width="14.140625" style="43" customWidth="1"/>
    <col min="6148" max="6149" width="7.7109375" style="43" customWidth="1"/>
    <col min="6150" max="6150" width="10.140625" style="43" customWidth="1"/>
    <col min="6151" max="6151" width="7.7109375" style="43" customWidth="1"/>
    <col min="6152" max="6152" width="8.85546875" style="43" customWidth="1"/>
    <col min="6153" max="6153" width="7.7109375" style="43" customWidth="1"/>
    <col min="6154" max="6154" width="9.7109375" style="43" customWidth="1"/>
    <col min="6155" max="6155" width="16.7109375" style="43" customWidth="1"/>
    <col min="6156" max="6156" width="11.42578125" style="43" customWidth="1"/>
    <col min="6157" max="6160" width="0" style="43" hidden="1" customWidth="1"/>
    <col min="6161" max="6161" width="8.42578125" style="43" customWidth="1"/>
    <col min="6162" max="6163" width="9" style="43" customWidth="1"/>
    <col min="6164" max="6164" width="9.85546875" style="43" customWidth="1"/>
    <col min="6165" max="6165" width="15.42578125" style="43" customWidth="1"/>
    <col min="6166" max="6387" width="9.140625" style="43"/>
    <col min="6388" max="6388" width="28.5703125" style="43" customWidth="1"/>
    <col min="6389" max="6391" width="7.7109375" style="43" customWidth="1"/>
    <col min="6392" max="6392" width="6.5703125" style="43" customWidth="1"/>
    <col min="6393" max="6393" width="13.42578125" style="43" customWidth="1"/>
    <col min="6394" max="6394" width="10.5703125" style="43" customWidth="1"/>
    <col min="6395" max="6395" width="7.7109375" style="43" customWidth="1"/>
    <col min="6396" max="6396" width="9.5703125" style="43" customWidth="1"/>
    <col min="6397" max="6401" width="7.7109375" style="43" customWidth="1"/>
    <col min="6402" max="6402" width="13.85546875" style="43" customWidth="1"/>
    <col min="6403" max="6403" width="14.140625" style="43" customWidth="1"/>
    <col min="6404" max="6405" width="7.7109375" style="43" customWidth="1"/>
    <col min="6406" max="6406" width="10.140625" style="43" customWidth="1"/>
    <col min="6407" max="6407" width="7.7109375" style="43" customWidth="1"/>
    <col min="6408" max="6408" width="8.85546875" style="43" customWidth="1"/>
    <col min="6409" max="6409" width="7.7109375" style="43" customWidth="1"/>
    <col min="6410" max="6410" width="9.7109375" style="43" customWidth="1"/>
    <col min="6411" max="6411" width="16.7109375" style="43" customWidth="1"/>
    <col min="6412" max="6412" width="11.42578125" style="43" customWidth="1"/>
    <col min="6413" max="6416" width="0" style="43" hidden="1" customWidth="1"/>
    <col min="6417" max="6417" width="8.42578125" style="43" customWidth="1"/>
    <col min="6418" max="6419" width="9" style="43" customWidth="1"/>
    <col min="6420" max="6420" width="9.85546875" style="43" customWidth="1"/>
    <col min="6421" max="6421" width="15.42578125" style="43" customWidth="1"/>
    <col min="6422" max="6643" width="9.140625" style="43"/>
    <col min="6644" max="6644" width="28.5703125" style="43" customWidth="1"/>
    <col min="6645" max="6647" width="7.7109375" style="43" customWidth="1"/>
    <col min="6648" max="6648" width="6.5703125" style="43" customWidth="1"/>
    <col min="6649" max="6649" width="13.42578125" style="43" customWidth="1"/>
    <col min="6650" max="6650" width="10.5703125" style="43" customWidth="1"/>
    <col min="6651" max="6651" width="7.7109375" style="43" customWidth="1"/>
    <col min="6652" max="6652" width="9.5703125" style="43" customWidth="1"/>
    <col min="6653" max="6657" width="7.7109375" style="43" customWidth="1"/>
    <col min="6658" max="6658" width="13.85546875" style="43" customWidth="1"/>
    <col min="6659" max="6659" width="14.140625" style="43" customWidth="1"/>
    <col min="6660" max="6661" width="7.7109375" style="43" customWidth="1"/>
    <col min="6662" max="6662" width="10.140625" style="43" customWidth="1"/>
    <col min="6663" max="6663" width="7.7109375" style="43" customWidth="1"/>
    <col min="6664" max="6664" width="8.85546875" style="43" customWidth="1"/>
    <col min="6665" max="6665" width="7.7109375" style="43" customWidth="1"/>
    <col min="6666" max="6666" width="9.7109375" style="43" customWidth="1"/>
    <col min="6667" max="6667" width="16.7109375" style="43" customWidth="1"/>
    <col min="6668" max="6668" width="11.42578125" style="43" customWidth="1"/>
    <col min="6669" max="6672" width="0" style="43" hidden="1" customWidth="1"/>
    <col min="6673" max="6673" width="8.42578125" style="43" customWidth="1"/>
    <col min="6674" max="6675" width="9" style="43" customWidth="1"/>
    <col min="6676" max="6676" width="9.85546875" style="43" customWidth="1"/>
    <col min="6677" max="6677" width="15.42578125" style="43" customWidth="1"/>
    <col min="6678" max="6899" width="9.140625" style="43"/>
    <col min="6900" max="6900" width="28.5703125" style="43" customWidth="1"/>
    <col min="6901" max="6903" width="7.7109375" style="43" customWidth="1"/>
    <col min="6904" max="6904" width="6.5703125" style="43" customWidth="1"/>
    <col min="6905" max="6905" width="13.42578125" style="43" customWidth="1"/>
    <col min="6906" max="6906" width="10.5703125" style="43" customWidth="1"/>
    <col min="6907" max="6907" width="7.7109375" style="43" customWidth="1"/>
    <col min="6908" max="6908" width="9.5703125" style="43" customWidth="1"/>
    <col min="6909" max="6913" width="7.7109375" style="43" customWidth="1"/>
    <col min="6914" max="6914" width="13.85546875" style="43" customWidth="1"/>
    <col min="6915" max="6915" width="14.140625" style="43" customWidth="1"/>
    <col min="6916" max="6917" width="7.7109375" style="43" customWidth="1"/>
    <col min="6918" max="6918" width="10.140625" style="43" customWidth="1"/>
    <col min="6919" max="6919" width="7.7109375" style="43" customWidth="1"/>
    <col min="6920" max="6920" width="8.85546875" style="43" customWidth="1"/>
    <col min="6921" max="6921" width="7.7109375" style="43" customWidth="1"/>
    <col min="6922" max="6922" width="9.7109375" style="43" customWidth="1"/>
    <col min="6923" max="6923" width="16.7109375" style="43" customWidth="1"/>
    <col min="6924" max="6924" width="11.42578125" style="43" customWidth="1"/>
    <col min="6925" max="6928" width="0" style="43" hidden="1" customWidth="1"/>
    <col min="6929" max="6929" width="8.42578125" style="43" customWidth="1"/>
    <col min="6930" max="6931" width="9" style="43" customWidth="1"/>
    <col min="6932" max="6932" width="9.85546875" style="43" customWidth="1"/>
    <col min="6933" max="6933" width="15.42578125" style="43" customWidth="1"/>
    <col min="6934" max="7155" width="9.140625" style="43"/>
    <col min="7156" max="7156" width="28.5703125" style="43" customWidth="1"/>
    <col min="7157" max="7159" width="7.7109375" style="43" customWidth="1"/>
    <col min="7160" max="7160" width="6.5703125" style="43" customWidth="1"/>
    <col min="7161" max="7161" width="13.42578125" style="43" customWidth="1"/>
    <col min="7162" max="7162" width="10.5703125" style="43" customWidth="1"/>
    <col min="7163" max="7163" width="7.7109375" style="43" customWidth="1"/>
    <col min="7164" max="7164" width="9.5703125" style="43" customWidth="1"/>
    <col min="7165" max="7169" width="7.7109375" style="43" customWidth="1"/>
    <col min="7170" max="7170" width="13.85546875" style="43" customWidth="1"/>
    <col min="7171" max="7171" width="14.140625" style="43" customWidth="1"/>
    <col min="7172" max="7173" width="7.7109375" style="43" customWidth="1"/>
    <col min="7174" max="7174" width="10.140625" style="43" customWidth="1"/>
    <col min="7175" max="7175" width="7.7109375" style="43" customWidth="1"/>
    <col min="7176" max="7176" width="8.85546875" style="43" customWidth="1"/>
    <col min="7177" max="7177" width="7.7109375" style="43" customWidth="1"/>
    <col min="7178" max="7178" width="9.7109375" style="43" customWidth="1"/>
    <col min="7179" max="7179" width="16.7109375" style="43" customWidth="1"/>
    <col min="7180" max="7180" width="11.42578125" style="43" customWidth="1"/>
    <col min="7181" max="7184" width="0" style="43" hidden="1" customWidth="1"/>
    <col min="7185" max="7185" width="8.42578125" style="43" customWidth="1"/>
    <col min="7186" max="7187" width="9" style="43" customWidth="1"/>
    <col min="7188" max="7188" width="9.85546875" style="43" customWidth="1"/>
    <col min="7189" max="7189" width="15.42578125" style="43" customWidth="1"/>
    <col min="7190" max="7411" width="9.140625" style="43"/>
    <col min="7412" max="7412" width="28.5703125" style="43" customWidth="1"/>
    <col min="7413" max="7415" width="7.7109375" style="43" customWidth="1"/>
    <col min="7416" max="7416" width="6.5703125" style="43" customWidth="1"/>
    <col min="7417" max="7417" width="13.42578125" style="43" customWidth="1"/>
    <col min="7418" max="7418" width="10.5703125" style="43" customWidth="1"/>
    <col min="7419" max="7419" width="7.7109375" style="43" customWidth="1"/>
    <col min="7420" max="7420" width="9.5703125" style="43" customWidth="1"/>
    <col min="7421" max="7425" width="7.7109375" style="43" customWidth="1"/>
    <col min="7426" max="7426" width="13.85546875" style="43" customWidth="1"/>
    <col min="7427" max="7427" width="14.140625" style="43" customWidth="1"/>
    <col min="7428" max="7429" width="7.7109375" style="43" customWidth="1"/>
    <col min="7430" max="7430" width="10.140625" style="43" customWidth="1"/>
    <col min="7431" max="7431" width="7.7109375" style="43" customWidth="1"/>
    <col min="7432" max="7432" width="8.85546875" style="43" customWidth="1"/>
    <col min="7433" max="7433" width="7.7109375" style="43" customWidth="1"/>
    <col min="7434" max="7434" width="9.7109375" style="43" customWidth="1"/>
    <col min="7435" max="7435" width="16.7109375" style="43" customWidth="1"/>
    <col min="7436" max="7436" width="11.42578125" style="43" customWidth="1"/>
    <col min="7437" max="7440" width="0" style="43" hidden="1" customWidth="1"/>
    <col min="7441" max="7441" width="8.42578125" style="43" customWidth="1"/>
    <col min="7442" max="7443" width="9" style="43" customWidth="1"/>
    <col min="7444" max="7444" width="9.85546875" style="43" customWidth="1"/>
    <col min="7445" max="7445" width="15.42578125" style="43" customWidth="1"/>
    <col min="7446" max="7667" width="9.140625" style="43"/>
    <col min="7668" max="7668" width="28.5703125" style="43" customWidth="1"/>
    <col min="7669" max="7671" width="7.7109375" style="43" customWidth="1"/>
    <col min="7672" max="7672" width="6.5703125" style="43" customWidth="1"/>
    <col min="7673" max="7673" width="13.42578125" style="43" customWidth="1"/>
    <col min="7674" max="7674" width="10.5703125" style="43" customWidth="1"/>
    <col min="7675" max="7675" width="7.7109375" style="43" customWidth="1"/>
    <col min="7676" max="7676" width="9.5703125" style="43" customWidth="1"/>
    <col min="7677" max="7681" width="7.7109375" style="43" customWidth="1"/>
    <col min="7682" max="7682" width="13.85546875" style="43" customWidth="1"/>
    <col min="7683" max="7683" width="14.140625" style="43" customWidth="1"/>
    <col min="7684" max="7685" width="7.7109375" style="43" customWidth="1"/>
    <col min="7686" max="7686" width="10.140625" style="43" customWidth="1"/>
    <col min="7687" max="7687" width="7.7109375" style="43" customWidth="1"/>
    <col min="7688" max="7688" width="8.85546875" style="43" customWidth="1"/>
    <col min="7689" max="7689" width="7.7109375" style="43" customWidth="1"/>
    <col min="7690" max="7690" width="9.7109375" style="43" customWidth="1"/>
    <col min="7691" max="7691" width="16.7109375" style="43" customWidth="1"/>
    <col min="7692" max="7692" width="11.42578125" style="43" customWidth="1"/>
    <col min="7693" max="7696" width="0" style="43" hidden="1" customWidth="1"/>
    <col min="7697" max="7697" width="8.42578125" style="43" customWidth="1"/>
    <col min="7698" max="7699" width="9" style="43" customWidth="1"/>
    <col min="7700" max="7700" width="9.85546875" style="43" customWidth="1"/>
    <col min="7701" max="7701" width="15.42578125" style="43" customWidth="1"/>
    <col min="7702" max="7923" width="9.140625" style="43"/>
    <col min="7924" max="7924" width="28.5703125" style="43" customWidth="1"/>
    <col min="7925" max="7927" width="7.7109375" style="43" customWidth="1"/>
    <col min="7928" max="7928" width="6.5703125" style="43" customWidth="1"/>
    <col min="7929" max="7929" width="13.42578125" style="43" customWidth="1"/>
    <col min="7930" max="7930" width="10.5703125" style="43" customWidth="1"/>
    <col min="7931" max="7931" width="7.7109375" style="43" customWidth="1"/>
    <col min="7932" max="7932" width="9.5703125" style="43" customWidth="1"/>
    <col min="7933" max="7937" width="7.7109375" style="43" customWidth="1"/>
    <col min="7938" max="7938" width="13.85546875" style="43" customWidth="1"/>
    <col min="7939" max="7939" width="14.140625" style="43" customWidth="1"/>
    <col min="7940" max="7941" width="7.7109375" style="43" customWidth="1"/>
    <col min="7942" max="7942" width="10.140625" style="43" customWidth="1"/>
    <col min="7943" max="7943" width="7.7109375" style="43" customWidth="1"/>
    <col min="7944" max="7944" width="8.85546875" style="43" customWidth="1"/>
    <col min="7945" max="7945" width="7.7109375" style="43" customWidth="1"/>
    <col min="7946" max="7946" width="9.7109375" style="43" customWidth="1"/>
    <col min="7947" max="7947" width="16.7109375" style="43" customWidth="1"/>
    <col min="7948" max="7948" width="11.42578125" style="43" customWidth="1"/>
    <col min="7949" max="7952" width="0" style="43" hidden="1" customWidth="1"/>
    <col min="7953" max="7953" width="8.42578125" style="43" customWidth="1"/>
    <col min="7954" max="7955" width="9" style="43" customWidth="1"/>
    <col min="7956" max="7956" width="9.85546875" style="43" customWidth="1"/>
    <col min="7957" max="7957" width="15.42578125" style="43" customWidth="1"/>
    <col min="7958" max="8179" width="9.140625" style="43"/>
    <col min="8180" max="8180" width="28.5703125" style="43" customWidth="1"/>
    <col min="8181" max="8183" width="7.7109375" style="43" customWidth="1"/>
    <col min="8184" max="8184" width="6.5703125" style="43" customWidth="1"/>
    <col min="8185" max="8185" width="13.42578125" style="43" customWidth="1"/>
    <col min="8186" max="8186" width="10.5703125" style="43" customWidth="1"/>
    <col min="8187" max="8187" width="7.7109375" style="43" customWidth="1"/>
    <col min="8188" max="8188" width="9.5703125" style="43" customWidth="1"/>
    <col min="8189" max="8193" width="7.7109375" style="43" customWidth="1"/>
    <col min="8194" max="8194" width="13.85546875" style="43" customWidth="1"/>
    <col min="8195" max="8195" width="14.140625" style="43" customWidth="1"/>
    <col min="8196" max="8197" width="7.7109375" style="43" customWidth="1"/>
    <col min="8198" max="8198" width="10.140625" style="43" customWidth="1"/>
    <col min="8199" max="8199" width="7.7109375" style="43" customWidth="1"/>
    <col min="8200" max="8200" width="8.85546875" style="43" customWidth="1"/>
    <col min="8201" max="8201" width="7.7109375" style="43" customWidth="1"/>
    <col min="8202" max="8202" width="9.7109375" style="43" customWidth="1"/>
    <col min="8203" max="8203" width="16.7109375" style="43" customWidth="1"/>
    <col min="8204" max="8204" width="11.42578125" style="43" customWidth="1"/>
    <col min="8205" max="8208" width="0" style="43" hidden="1" customWidth="1"/>
    <col min="8209" max="8209" width="8.42578125" style="43" customWidth="1"/>
    <col min="8210" max="8211" width="9" style="43" customWidth="1"/>
    <col min="8212" max="8212" width="9.85546875" style="43" customWidth="1"/>
    <col min="8213" max="8213" width="15.42578125" style="43" customWidth="1"/>
    <col min="8214" max="8435" width="9.140625" style="43"/>
    <col min="8436" max="8436" width="28.5703125" style="43" customWidth="1"/>
    <col min="8437" max="8439" width="7.7109375" style="43" customWidth="1"/>
    <col min="8440" max="8440" width="6.5703125" style="43" customWidth="1"/>
    <col min="8441" max="8441" width="13.42578125" style="43" customWidth="1"/>
    <col min="8442" max="8442" width="10.5703125" style="43" customWidth="1"/>
    <col min="8443" max="8443" width="7.7109375" style="43" customWidth="1"/>
    <col min="8444" max="8444" width="9.5703125" style="43" customWidth="1"/>
    <col min="8445" max="8449" width="7.7109375" style="43" customWidth="1"/>
    <col min="8450" max="8450" width="13.85546875" style="43" customWidth="1"/>
    <col min="8451" max="8451" width="14.140625" style="43" customWidth="1"/>
    <col min="8452" max="8453" width="7.7109375" style="43" customWidth="1"/>
    <col min="8454" max="8454" width="10.140625" style="43" customWidth="1"/>
    <col min="8455" max="8455" width="7.7109375" style="43" customWidth="1"/>
    <col min="8456" max="8456" width="8.85546875" style="43" customWidth="1"/>
    <col min="8457" max="8457" width="7.7109375" style="43" customWidth="1"/>
    <col min="8458" max="8458" width="9.7109375" style="43" customWidth="1"/>
    <col min="8459" max="8459" width="16.7109375" style="43" customWidth="1"/>
    <col min="8460" max="8460" width="11.42578125" style="43" customWidth="1"/>
    <col min="8461" max="8464" width="0" style="43" hidden="1" customWidth="1"/>
    <col min="8465" max="8465" width="8.42578125" style="43" customWidth="1"/>
    <col min="8466" max="8467" width="9" style="43" customWidth="1"/>
    <col min="8468" max="8468" width="9.85546875" style="43" customWidth="1"/>
    <col min="8469" max="8469" width="15.42578125" style="43" customWidth="1"/>
    <col min="8470" max="8691" width="9.140625" style="43"/>
    <col min="8692" max="8692" width="28.5703125" style="43" customWidth="1"/>
    <col min="8693" max="8695" width="7.7109375" style="43" customWidth="1"/>
    <col min="8696" max="8696" width="6.5703125" style="43" customWidth="1"/>
    <col min="8697" max="8697" width="13.42578125" style="43" customWidth="1"/>
    <col min="8698" max="8698" width="10.5703125" style="43" customWidth="1"/>
    <col min="8699" max="8699" width="7.7109375" style="43" customWidth="1"/>
    <col min="8700" max="8700" width="9.5703125" style="43" customWidth="1"/>
    <col min="8701" max="8705" width="7.7109375" style="43" customWidth="1"/>
    <col min="8706" max="8706" width="13.85546875" style="43" customWidth="1"/>
    <col min="8707" max="8707" width="14.140625" style="43" customWidth="1"/>
    <col min="8708" max="8709" width="7.7109375" style="43" customWidth="1"/>
    <col min="8710" max="8710" width="10.140625" style="43" customWidth="1"/>
    <col min="8711" max="8711" width="7.7109375" style="43" customWidth="1"/>
    <col min="8712" max="8712" width="8.85546875" style="43" customWidth="1"/>
    <col min="8713" max="8713" width="7.7109375" style="43" customWidth="1"/>
    <col min="8714" max="8714" width="9.7109375" style="43" customWidth="1"/>
    <col min="8715" max="8715" width="16.7109375" style="43" customWidth="1"/>
    <col min="8716" max="8716" width="11.42578125" style="43" customWidth="1"/>
    <col min="8717" max="8720" width="0" style="43" hidden="1" customWidth="1"/>
    <col min="8721" max="8721" width="8.42578125" style="43" customWidth="1"/>
    <col min="8722" max="8723" width="9" style="43" customWidth="1"/>
    <col min="8724" max="8724" width="9.85546875" style="43" customWidth="1"/>
    <col min="8725" max="8725" width="15.42578125" style="43" customWidth="1"/>
    <col min="8726" max="8947" width="9.140625" style="43"/>
    <col min="8948" max="8948" width="28.5703125" style="43" customWidth="1"/>
    <col min="8949" max="8951" width="7.7109375" style="43" customWidth="1"/>
    <col min="8952" max="8952" width="6.5703125" style="43" customWidth="1"/>
    <col min="8953" max="8953" width="13.42578125" style="43" customWidth="1"/>
    <col min="8954" max="8954" width="10.5703125" style="43" customWidth="1"/>
    <col min="8955" max="8955" width="7.7109375" style="43" customWidth="1"/>
    <col min="8956" max="8956" width="9.5703125" style="43" customWidth="1"/>
    <col min="8957" max="8961" width="7.7109375" style="43" customWidth="1"/>
    <col min="8962" max="8962" width="13.85546875" style="43" customWidth="1"/>
    <col min="8963" max="8963" width="14.140625" style="43" customWidth="1"/>
    <col min="8964" max="8965" width="7.7109375" style="43" customWidth="1"/>
    <col min="8966" max="8966" width="10.140625" style="43" customWidth="1"/>
    <col min="8967" max="8967" width="7.7109375" style="43" customWidth="1"/>
    <col min="8968" max="8968" width="8.85546875" style="43" customWidth="1"/>
    <col min="8969" max="8969" width="7.7109375" style="43" customWidth="1"/>
    <col min="8970" max="8970" width="9.7109375" style="43" customWidth="1"/>
    <col min="8971" max="8971" width="16.7109375" style="43" customWidth="1"/>
    <col min="8972" max="8972" width="11.42578125" style="43" customWidth="1"/>
    <col min="8973" max="8976" width="0" style="43" hidden="1" customWidth="1"/>
    <col min="8977" max="8977" width="8.42578125" style="43" customWidth="1"/>
    <col min="8978" max="8979" width="9" style="43" customWidth="1"/>
    <col min="8980" max="8980" width="9.85546875" style="43" customWidth="1"/>
    <col min="8981" max="8981" width="15.42578125" style="43" customWidth="1"/>
    <col min="8982" max="9203" width="9.140625" style="43"/>
    <col min="9204" max="9204" width="28.5703125" style="43" customWidth="1"/>
    <col min="9205" max="9207" width="7.7109375" style="43" customWidth="1"/>
    <col min="9208" max="9208" width="6.5703125" style="43" customWidth="1"/>
    <col min="9209" max="9209" width="13.42578125" style="43" customWidth="1"/>
    <col min="9210" max="9210" width="10.5703125" style="43" customWidth="1"/>
    <col min="9211" max="9211" width="7.7109375" style="43" customWidth="1"/>
    <col min="9212" max="9212" width="9.5703125" style="43" customWidth="1"/>
    <col min="9213" max="9217" width="7.7109375" style="43" customWidth="1"/>
    <col min="9218" max="9218" width="13.85546875" style="43" customWidth="1"/>
    <col min="9219" max="9219" width="14.140625" style="43" customWidth="1"/>
    <col min="9220" max="9221" width="7.7109375" style="43" customWidth="1"/>
    <col min="9222" max="9222" width="10.140625" style="43" customWidth="1"/>
    <col min="9223" max="9223" width="7.7109375" style="43" customWidth="1"/>
    <col min="9224" max="9224" width="8.85546875" style="43" customWidth="1"/>
    <col min="9225" max="9225" width="7.7109375" style="43" customWidth="1"/>
    <col min="9226" max="9226" width="9.7109375" style="43" customWidth="1"/>
    <col min="9227" max="9227" width="16.7109375" style="43" customWidth="1"/>
    <col min="9228" max="9228" width="11.42578125" style="43" customWidth="1"/>
    <col min="9229" max="9232" width="0" style="43" hidden="1" customWidth="1"/>
    <col min="9233" max="9233" width="8.42578125" style="43" customWidth="1"/>
    <col min="9234" max="9235" width="9" style="43" customWidth="1"/>
    <col min="9236" max="9236" width="9.85546875" style="43" customWidth="1"/>
    <col min="9237" max="9237" width="15.42578125" style="43" customWidth="1"/>
    <col min="9238" max="9459" width="9.140625" style="43"/>
    <col min="9460" max="9460" width="28.5703125" style="43" customWidth="1"/>
    <col min="9461" max="9463" width="7.7109375" style="43" customWidth="1"/>
    <col min="9464" max="9464" width="6.5703125" style="43" customWidth="1"/>
    <col min="9465" max="9465" width="13.42578125" style="43" customWidth="1"/>
    <col min="9466" max="9466" width="10.5703125" style="43" customWidth="1"/>
    <col min="9467" max="9467" width="7.7109375" style="43" customWidth="1"/>
    <col min="9468" max="9468" width="9.5703125" style="43" customWidth="1"/>
    <col min="9469" max="9473" width="7.7109375" style="43" customWidth="1"/>
    <col min="9474" max="9474" width="13.85546875" style="43" customWidth="1"/>
    <col min="9475" max="9475" width="14.140625" style="43" customWidth="1"/>
    <col min="9476" max="9477" width="7.7109375" style="43" customWidth="1"/>
    <col min="9478" max="9478" width="10.140625" style="43" customWidth="1"/>
    <col min="9479" max="9479" width="7.7109375" style="43" customWidth="1"/>
    <col min="9480" max="9480" width="8.85546875" style="43" customWidth="1"/>
    <col min="9481" max="9481" width="7.7109375" style="43" customWidth="1"/>
    <col min="9482" max="9482" width="9.7109375" style="43" customWidth="1"/>
    <col min="9483" max="9483" width="16.7109375" style="43" customWidth="1"/>
    <col min="9484" max="9484" width="11.42578125" style="43" customWidth="1"/>
    <col min="9485" max="9488" width="0" style="43" hidden="1" customWidth="1"/>
    <col min="9489" max="9489" width="8.42578125" style="43" customWidth="1"/>
    <col min="9490" max="9491" width="9" style="43" customWidth="1"/>
    <col min="9492" max="9492" width="9.85546875" style="43" customWidth="1"/>
    <col min="9493" max="9493" width="15.42578125" style="43" customWidth="1"/>
    <col min="9494" max="9715" width="9.140625" style="43"/>
    <col min="9716" max="9716" width="28.5703125" style="43" customWidth="1"/>
    <col min="9717" max="9719" width="7.7109375" style="43" customWidth="1"/>
    <col min="9720" max="9720" width="6.5703125" style="43" customWidth="1"/>
    <col min="9721" max="9721" width="13.42578125" style="43" customWidth="1"/>
    <col min="9722" max="9722" width="10.5703125" style="43" customWidth="1"/>
    <col min="9723" max="9723" width="7.7109375" style="43" customWidth="1"/>
    <col min="9724" max="9724" width="9.5703125" style="43" customWidth="1"/>
    <col min="9725" max="9729" width="7.7109375" style="43" customWidth="1"/>
    <col min="9730" max="9730" width="13.85546875" style="43" customWidth="1"/>
    <col min="9731" max="9731" width="14.140625" style="43" customWidth="1"/>
    <col min="9732" max="9733" width="7.7109375" style="43" customWidth="1"/>
    <col min="9734" max="9734" width="10.140625" style="43" customWidth="1"/>
    <col min="9735" max="9735" width="7.7109375" style="43" customWidth="1"/>
    <col min="9736" max="9736" width="8.85546875" style="43" customWidth="1"/>
    <col min="9737" max="9737" width="7.7109375" style="43" customWidth="1"/>
    <col min="9738" max="9738" width="9.7109375" style="43" customWidth="1"/>
    <col min="9739" max="9739" width="16.7109375" style="43" customWidth="1"/>
    <col min="9740" max="9740" width="11.42578125" style="43" customWidth="1"/>
    <col min="9741" max="9744" width="0" style="43" hidden="1" customWidth="1"/>
    <col min="9745" max="9745" width="8.42578125" style="43" customWidth="1"/>
    <col min="9746" max="9747" width="9" style="43" customWidth="1"/>
    <col min="9748" max="9748" width="9.85546875" style="43" customWidth="1"/>
    <col min="9749" max="9749" width="15.42578125" style="43" customWidth="1"/>
    <col min="9750" max="9971" width="9.140625" style="43"/>
    <col min="9972" max="9972" width="28.5703125" style="43" customWidth="1"/>
    <col min="9973" max="9975" width="7.7109375" style="43" customWidth="1"/>
    <col min="9976" max="9976" width="6.5703125" style="43" customWidth="1"/>
    <col min="9977" max="9977" width="13.42578125" style="43" customWidth="1"/>
    <col min="9978" max="9978" width="10.5703125" style="43" customWidth="1"/>
    <col min="9979" max="9979" width="7.7109375" style="43" customWidth="1"/>
    <col min="9980" max="9980" width="9.5703125" style="43" customWidth="1"/>
    <col min="9981" max="9985" width="7.7109375" style="43" customWidth="1"/>
    <col min="9986" max="9986" width="13.85546875" style="43" customWidth="1"/>
    <col min="9987" max="9987" width="14.140625" style="43" customWidth="1"/>
    <col min="9988" max="9989" width="7.7109375" style="43" customWidth="1"/>
    <col min="9990" max="9990" width="10.140625" style="43" customWidth="1"/>
    <col min="9991" max="9991" width="7.7109375" style="43" customWidth="1"/>
    <col min="9992" max="9992" width="8.85546875" style="43" customWidth="1"/>
    <col min="9993" max="9993" width="7.7109375" style="43" customWidth="1"/>
    <col min="9994" max="9994" width="9.7109375" style="43" customWidth="1"/>
    <col min="9995" max="9995" width="16.7109375" style="43" customWidth="1"/>
    <col min="9996" max="9996" width="11.42578125" style="43" customWidth="1"/>
    <col min="9997" max="10000" width="0" style="43" hidden="1" customWidth="1"/>
    <col min="10001" max="10001" width="8.42578125" style="43" customWidth="1"/>
    <col min="10002" max="10003" width="9" style="43" customWidth="1"/>
    <col min="10004" max="10004" width="9.85546875" style="43" customWidth="1"/>
    <col min="10005" max="10005" width="15.42578125" style="43" customWidth="1"/>
    <col min="10006" max="10227" width="9.140625" style="43"/>
    <col min="10228" max="10228" width="28.5703125" style="43" customWidth="1"/>
    <col min="10229" max="10231" width="7.7109375" style="43" customWidth="1"/>
    <col min="10232" max="10232" width="6.5703125" style="43" customWidth="1"/>
    <col min="10233" max="10233" width="13.42578125" style="43" customWidth="1"/>
    <col min="10234" max="10234" width="10.5703125" style="43" customWidth="1"/>
    <col min="10235" max="10235" width="7.7109375" style="43" customWidth="1"/>
    <col min="10236" max="10236" width="9.5703125" style="43" customWidth="1"/>
    <col min="10237" max="10241" width="7.7109375" style="43" customWidth="1"/>
    <col min="10242" max="10242" width="13.85546875" style="43" customWidth="1"/>
    <col min="10243" max="10243" width="14.140625" style="43" customWidth="1"/>
    <col min="10244" max="10245" width="7.7109375" style="43" customWidth="1"/>
    <col min="10246" max="10246" width="10.140625" style="43" customWidth="1"/>
    <col min="10247" max="10247" width="7.7109375" style="43" customWidth="1"/>
    <col min="10248" max="10248" width="8.85546875" style="43" customWidth="1"/>
    <col min="10249" max="10249" width="7.7109375" style="43" customWidth="1"/>
    <col min="10250" max="10250" width="9.7109375" style="43" customWidth="1"/>
    <col min="10251" max="10251" width="16.7109375" style="43" customWidth="1"/>
    <col min="10252" max="10252" width="11.42578125" style="43" customWidth="1"/>
    <col min="10253" max="10256" width="0" style="43" hidden="1" customWidth="1"/>
    <col min="10257" max="10257" width="8.42578125" style="43" customWidth="1"/>
    <col min="10258" max="10259" width="9" style="43" customWidth="1"/>
    <col min="10260" max="10260" width="9.85546875" style="43" customWidth="1"/>
    <col min="10261" max="10261" width="15.42578125" style="43" customWidth="1"/>
    <col min="10262" max="10483" width="9.140625" style="43"/>
    <col min="10484" max="10484" width="28.5703125" style="43" customWidth="1"/>
    <col min="10485" max="10487" width="7.7109375" style="43" customWidth="1"/>
    <col min="10488" max="10488" width="6.5703125" style="43" customWidth="1"/>
    <col min="10489" max="10489" width="13.42578125" style="43" customWidth="1"/>
    <col min="10490" max="10490" width="10.5703125" style="43" customWidth="1"/>
    <col min="10491" max="10491" width="7.7109375" style="43" customWidth="1"/>
    <col min="10492" max="10492" width="9.5703125" style="43" customWidth="1"/>
    <col min="10493" max="10497" width="7.7109375" style="43" customWidth="1"/>
    <col min="10498" max="10498" width="13.85546875" style="43" customWidth="1"/>
    <col min="10499" max="10499" width="14.140625" style="43" customWidth="1"/>
    <col min="10500" max="10501" width="7.7109375" style="43" customWidth="1"/>
    <col min="10502" max="10502" width="10.140625" style="43" customWidth="1"/>
    <col min="10503" max="10503" width="7.7109375" style="43" customWidth="1"/>
    <col min="10504" max="10504" width="8.85546875" style="43" customWidth="1"/>
    <col min="10505" max="10505" width="7.7109375" style="43" customWidth="1"/>
    <col min="10506" max="10506" width="9.7109375" style="43" customWidth="1"/>
    <col min="10507" max="10507" width="16.7109375" style="43" customWidth="1"/>
    <col min="10508" max="10508" width="11.42578125" style="43" customWidth="1"/>
    <col min="10509" max="10512" width="0" style="43" hidden="1" customWidth="1"/>
    <col min="10513" max="10513" width="8.42578125" style="43" customWidth="1"/>
    <col min="10514" max="10515" width="9" style="43" customWidth="1"/>
    <col min="10516" max="10516" width="9.85546875" style="43" customWidth="1"/>
    <col min="10517" max="10517" width="15.42578125" style="43" customWidth="1"/>
    <col min="10518" max="10739" width="9.140625" style="43"/>
    <col min="10740" max="10740" width="28.5703125" style="43" customWidth="1"/>
    <col min="10741" max="10743" width="7.7109375" style="43" customWidth="1"/>
    <col min="10744" max="10744" width="6.5703125" style="43" customWidth="1"/>
    <col min="10745" max="10745" width="13.42578125" style="43" customWidth="1"/>
    <col min="10746" max="10746" width="10.5703125" style="43" customWidth="1"/>
    <col min="10747" max="10747" width="7.7109375" style="43" customWidth="1"/>
    <col min="10748" max="10748" width="9.5703125" style="43" customWidth="1"/>
    <col min="10749" max="10753" width="7.7109375" style="43" customWidth="1"/>
    <col min="10754" max="10754" width="13.85546875" style="43" customWidth="1"/>
    <col min="10755" max="10755" width="14.140625" style="43" customWidth="1"/>
    <col min="10756" max="10757" width="7.7109375" style="43" customWidth="1"/>
    <col min="10758" max="10758" width="10.140625" style="43" customWidth="1"/>
    <col min="10759" max="10759" width="7.7109375" style="43" customWidth="1"/>
    <col min="10760" max="10760" width="8.85546875" style="43" customWidth="1"/>
    <col min="10761" max="10761" width="7.7109375" style="43" customWidth="1"/>
    <col min="10762" max="10762" width="9.7109375" style="43" customWidth="1"/>
    <col min="10763" max="10763" width="16.7109375" style="43" customWidth="1"/>
    <col min="10764" max="10764" width="11.42578125" style="43" customWidth="1"/>
    <col min="10765" max="10768" width="0" style="43" hidden="1" customWidth="1"/>
    <col min="10769" max="10769" width="8.42578125" style="43" customWidth="1"/>
    <col min="10770" max="10771" width="9" style="43" customWidth="1"/>
    <col min="10772" max="10772" width="9.85546875" style="43" customWidth="1"/>
    <col min="10773" max="10773" width="15.42578125" style="43" customWidth="1"/>
    <col min="10774" max="10995" width="9.140625" style="43"/>
    <col min="10996" max="10996" width="28.5703125" style="43" customWidth="1"/>
    <col min="10997" max="10999" width="7.7109375" style="43" customWidth="1"/>
    <col min="11000" max="11000" width="6.5703125" style="43" customWidth="1"/>
    <col min="11001" max="11001" width="13.42578125" style="43" customWidth="1"/>
    <col min="11002" max="11002" width="10.5703125" style="43" customWidth="1"/>
    <col min="11003" max="11003" width="7.7109375" style="43" customWidth="1"/>
    <col min="11004" max="11004" width="9.5703125" style="43" customWidth="1"/>
    <col min="11005" max="11009" width="7.7109375" style="43" customWidth="1"/>
    <col min="11010" max="11010" width="13.85546875" style="43" customWidth="1"/>
    <col min="11011" max="11011" width="14.140625" style="43" customWidth="1"/>
    <col min="11012" max="11013" width="7.7109375" style="43" customWidth="1"/>
    <col min="11014" max="11014" width="10.140625" style="43" customWidth="1"/>
    <col min="11015" max="11015" width="7.7109375" style="43" customWidth="1"/>
    <col min="11016" max="11016" width="8.85546875" style="43" customWidth="1"/>
    <col min="11017" max="11017" width="7.7109375" style="43" customWidth="1"/>
    <col min="11018" max="11018" width="9.7109375" style="43" customWidth="1"/>
    <col min="11019" max="11019" width="16.7109375" style="43" customWidth="1"/>
    <col min="11020" max="11020" width="11.42578125" style="43" customWidth="1"/>
    <col min="11021" max="11024" width="0" style="43" hidden="1" customWidth="1"/>
    <col min="11025" max="11025" width="8.42578125" style="43" customWidth="1"/>
    <col min="11026" max="11027" width="9" style="43" customWidth="1"/>
    <col min="11028" max="11028" width="9.85546875" style="43" customWidth="1"/>
    <col min="11029" max="11029" width="15.42578125" style="43" customWidth="1"/>
    <col min="11030" max="11251" width="9.140625" style="43"/>
    <col min="11252" max="11252" width="28.5703125" style="43" customWidth="1"/>
    <col min="11253" max="11255" width="7.7109375" style="43" customWidth="1"/>
    <col min="11256" max="11256" width="6.5703125" style="43" customWidth="1"/>
    <col min="11257" max="11257" width="13.42578125" style="43" customWidth="1"/>
    <col min="11258" max="11258" width="10.5703125" style="43" customWidth="1"/>
    <col min="11259" max="11259" width="7.7109375" style="43" customWidth="1"/>
    <col min="11260" max="11260" width="9.5703125" style="43" customWidth="1"/>
    <col min="11261" max="11265" width="7.7109375" style="43" customWidth="1"/>
    <col min="11266" max="11266" width="13.85546875" style="43" customWidth="1"/>
    <col min="11267" max="11267" width="14.140625" style="43" customWidth="1"/>
    <col min="11268" max="11269" width="7.7109375" style="43" customWidth="1"/>
    <col min="11270" max="11270" width="10.140625" style="43" customWidth="1"/>
    <col min="11271" max="11271" width="7.7109375" style="43" customWidth="1"/>
    <col min="11272" max="11272" width="8.85546875" style="43" customWidth="1"/>
    <col min="11273" max="11273" width="7.7109375" style="43" customWidth="1"/>
    <col min="11274" max="11274" width="9.7109375" style="43" customWidth="1"/>
    <col min="11275" max="11275" width="16.7109375" style="43" customWidth="1"/>
    <col min="11276" max="11276" width="11.42578125" style="43" customWidth="1"/>
    <col min="11277" max="11280" width="0" style="43" hidden="1" customWidth="1"/>
    <col min="11281" max="11281" width="8.42578125" style="43" customWidth="1"/>
    <col min="11282" max="11283" width="9" style="43" customWidth="1"/>
    <col min="11284" max="11284" width="9.85546875" style="43" customWidth="1"/>
    <col min="11285" max="11285" width="15.42578125" style="43" customWidth="1"/>
    <col min="11286" max="11507" width="9.140625" style="43"/>
    <col min="11508" max="11508" width="28.5703125" style="43" customWidth="1"/>
    <col min="11509" max="11511" width="7.7109375" style="43" customWidth="1"/>
    <col min="11512" max="11512" width="6.5703125" style="43" customWidth="1"/>
    <col min="11513" max="11513" width="13.42578125" style="43" customWidth="1"/>
    <col min="11514" max="11514" width="10.5703125" style="43" customWidth="1"/>
    <col min="11515" max="11515" width="7.7109375" style="43" customWidth="1"/>
    <col min="11516" max="11516" width="9.5703125" style="43" customWidth="1"/>
    <col min="11517" max="11521" width="7.7109375" style="43" customWidth="1"/>
    <col min="11522" max="11522" width="13.85546875" style="43" customWidth="1"/>
    <col min="11523" max="11523" width="14.140625" style="43" customWidth="1"/>
    <col min="11524" max="11525" width="7.7109375" style="43" customWidth="1"/>
    <col min="11526" max="11526" width="10.140625" style="43" customWidth="1"/>
    <col min="11527" max="11527" width="7.7109375" style="43" customWidth="1"/>
    <col min="11528" max="11528" width="8.85546875" style="43" customWidth="1"/>
    <col min="11529" max="11529" width="7.7109375" style="43" customWidth="1"/>
    <col min="11530" max="11530" width="9.7109375" style="43" customWidth="1"/>
    <col min="11531" max="11531" width="16.7109375" style="43" customWidth="1"/>
    <col min="11532" max="11532" width="11.42578125" style="43" customWidth="1"/>
    <col min="11533" max="11536" width="0" style="43" hidden="1" customWidth="1"/>
    <col min="11537" max="11537" width="8.42578125" style="43" customWidth="1"/>
    <col min="11538" max="11539" width="9" style="43" customWidth="1"/>
    <col min="11540" max="11540" width="9.85546875" style="43" customWidth="1"/>
    <col min="11541" max="11541" width="15.42578125" style="43" customWidth="1"/>
    <col min="11542" max="11763" width="9.140625" style="43"/>
    <col min="11764" max="11764" width="28.5703125" style="43" customWidth="1"/>
    <col min="11765" max="11767" width="7.7109375" style="43" customWidth="1"/>
    <col min="11768" max="11768" width="6.5703125" style="43" customWidth="1"/>
    <col min="11769" max="11769" width="13.42578125" style="43" customWidth="1"/>
    <col min="11770" max="11770" width="10.5703125" style="43" customWidth="1"/>
    <col min="11771" max="11771" width="7.7109375" style="43" customWidth="1"/>
    <col min="11772" max="11772" width="9.5703125" style="43" customWidth="1"/>
    <col min="11773" max="11777" width="7.7109375" style="43" customWidth="1"/>
    <col min="11778" max="11778" width="13.85546875" style="43" customWidth="1"/>
    <col min="11779" max="11779" width="14.140625" style="43" customWidth="1"/>
    <col min="11780" max="11781" width="7.7109375" style="43" customWidth="1"/>
    <col min="11782" max="11782" width="10.140625" style="43" customWidth="1"/>
    <col min="11783" max="11783" width="7.7109375" style="43" customWidth="1"/>
    <col min="11784" max="11784" width="8.85546875" style="43" customWidth="1"/>
    <col min="11785" max="11785" width="7.7109375" style="43" customWidth="1"/>
    <col min="11786" max="11786" width="9.7109375" style="43" customWidth="1"/>
    <col min="11787" max="11787" width="16.7109375" style="43" customWidth="1"/>
    <col min="11788" max="11788" width="11.42578125" style="43" customWidth="1"/>
    <col min="11789" max="11792" width="0" style="43" hidden="1" customWidth="1"/>
    <col min="11793" max="11793" width="8.42578125" style="43" customWidth="1"/>
    <col min="11794" max="11795" width="9" style="43" customWidth="1"/>
    <col min="11796" max="11796" width="9.85546875" style="43" customWidth="1"/>
    <col min="11797" max="11797" width="15.42578125" style="43" customWidth="1"/>
    <col min="11798" max="12019" width="9.140625" style="43"/>
    <col min="12020" max="12020" width="28.5703125" style="43" customWidth="1"/>
    <col min="12021" max="12023" width="7.7109375" style="43" customWidth="1"/>
    <col min="12024" max="12024" width="6.5703125" style="43" customWidth="1"/>
    <col min="12025" max="12025" width="13.42578125" style="43" customWidth="1"/>
    <col min="12026" max="12026" width="10.5703125" style="43" customWidth="1"/>
    <col min="12027" max="12027" width="7.7109375" style="43" customWidth="1"/>
    <col min="12028" max="12028" width="9.5703125" style="43" customWidth="1"/>
    <col min="12029" max="12033" width="7.7109375" style="43" customWidth="1"/>
    <col min="12034" max="12034" width="13.85546875" style="43" customWidth="1"/>
    <col min="12035" max="12035" width="14.140625" style="43" customWidth="1"/>
    <col min="12036" max="12037" width="7.7109375" style="43" customWidth="1"/>
    <col min="12038" max="12038" width="10.140625" style="43" customWidth="1"/>
    <col min="12039" max="12039" width="7.7109375" style="43" customWidth="1"/>
    <col min="12040" max="12040" width="8.85546875" style="43" customWidth="1"/>
    <col min="12041" max="12041" width="7.7109375" style="43" customWidth="1"/>
    <col min="12042" max="12042" width="9.7109375" style="43" customWidth="1"/>
    <col min="12043" max="12043" width="16.7109375" style="43" customWidth="1"/>
    <col min="12044" max="12044" width="11.42578125" style="43" customWidth="1"/>
    <col min="12045" max="12048" width="0" style="43" hidden="1" customWidth="1"/>
    <col min="12049" max="12049" width="8.42578125" style="43" customWidth="1"/>
    <col min="12050" max="12051" width="9" style="43" customWidth="1"/>
    <col min="12052" max="12052" width="9.85546875" style="43" customWidth="1"/>
    <col min="12053" max="12053" width="15.42578125" style="43" customWidth="1"/>
    <col min="12054" max="12275" width="9.140625" style="43"/>
    <col min="12276" max="12276" width="28.5703125" style="43" customWidth="1"/>
    <col min="12277" max="12279" width="7.7109375" style="43" customWidth="1"/>
    <col min="12280" max="12280" width="6.5703125" style="43" customWidth="1"/>
    <col min="12281" max="12281" width="13.42578125" style="43" customWidth="1"/>
    <col min="12282" max="12282" width="10.5703125" style="43" customWidth="1"/>
    <col min="12283" max="12283" width="7.7109375" style="43" customWidth="1"/>
    <col min="12284" max="12284" width="9.5703125" style="43" customWidth="1"/>
    <col min="12285" max="12289" width="7.7109375" style="43" customWidth="1"/>
    <col min="12290" max="12290" width="13.85546875" style="43" customWidth="1"/>
    <col min="12291" max="12291" width="14.140625" style="43" customWidth="1"/>
    <col min="12292" max="12293" width="7.7109375" style="43" customWidth="1"/>
    <col min="12294" max="12294" width="10.140625" style="43" customWidth="1"/>
    <col min="12295" max="12295" width="7.7109375" style="43" customWidth="1"/>
    <col min="12296" max="12296" width="8.85546875" style="43" customWidth="1"/>
    <col min="12297" max="12297" width="7.7109375" style="43" customWidth="1"/>
    <col min="12298" max="12298" width="9.7109375" style="43" customWidth="1"/>
    <col min="12299" max="12299" width="16.7109375" style="43" customWidth="1"/>
    <col min="12300" max="12300" width="11.42578125" style="43" customWidth="1"/>
    <col min="12301" max="12304" width="0" style="43" hidden="1" customWidth="1"/>
    <col min="12305" max="12305" width="8.42578125" style="43" customWidth="1"/>
    <col min="12306" max="12307" width="9" style="43" customWidth="1"/>
    <col min="12308" max="12308" width="9.85546875" style="43" customWidth="1"/>
    <col min="12309" max="12309" width="15.42578125" style="43" customWidth="1"/>
    <col min="12310" max="12531" width="9.140625" style="43"/>
    <col min="12532" max="12532" width="28.5703125" style="43" customWidth="1"/>
    <col min="12533" max="12535" width="7.7109375" style="43" customWidth="1"/>
    <col min="12536" max="12536" width="6.5703125" style="43" customWidth="1"/>
    <col min="12537" max="12537" width="13.42578125" style="43" customWidth="1"/>
    <col min="12538" max="12538" width="10.5703125" style="43" customWidth="1"/>
    <col min="12539" max="12539" width="7.7109375" style="43" customWidth="1"/>
    <col min="12540" max="12540" width="9.5703125" style="43" customWidth="1"/>
    <col min="12541" max="12545" width="7.7109375" style="43" customWidth="1"/>
    <col min="12546" max="12546" width="13.85546875" style="43" customWidth="1"/>
    <col min="12547" max="12547" width="14.140625" style="43" customWidth="1"/>
    <col min="12548" max="12549" width="7.7109375" style="43" customWidth="1"/>
    <col min="12550" max="12550" width="10.140625" style="43" customWidth="1"/>
    <col min="12551" max="12551" width="7.7109375" style="43" customWidth="1"/>
    <col min="12552" max="12552" width="8.85546875" style="43" customWidth="1"/>
    <col min="12553" max="12553" width="7.7109375" style="43" customWidth="1"/>
    <col min="12554" max="12554" width="9.7109375" style="43" customWidth="1"/>
    <col min="12555" max="12555" width="16.7109375" style="43" customWidth="1"/>
    <col min="12556" max="12556" width="11.42578125" style="43" customWidth="1"/>
    <col min="12557" max="12560" width="0" style="43" hidden="1" customWidth="1"/>
    <col min="12561" max="12561" width="8.42578125" style="43" customWidth="1"/>
    <col min="12562" max="12563" width="9" style="43" customWidth="1"/>
    <col min="12564" max="12564" width="9.85546875" style="43" customWidth="1"/>
    <col min="12565" max="12565" width="15.42578125" style="43" customWidth="1"/>
    <col min="12566" max="12787" width="9.140625" style="43"/>
    <col min="12788" max="12788" width="28.5703125" style="43" customWidth="1"/>
    <col min="12789" max="12791" width="7.7109375" style="43" customWidth="1"/>
    <col min="12792" max="12792" width="6.5703125" style="43" customWidth="1"/>
    <col min="12793" max="12793" width="13.42578125" style="43" customWidth="1"/>
    <col min="12794" max="12794" width="10.5703125" style="43" customWidth="1"/>
    <col min="12795" max="12795" width="7.7109375" style="43" customWidth="1"/>
    <col min="12796" max="12796" width="9.5703125" style="43" customWidth="1"/>
    <col min="12797" max="12801" width="7.7109375" style="43" customWidth="1"/>
    <col min="12802" max="12802" width="13.85546875" style="43" customWidth="1"/>
    <col min="12803" max="12803" width="14.140625" style="43" customWidth="1"/>
    <col min="12804" max="12805" width="7.7109375" style="43" customWidth="1"/>
    <col min="12806" max="12806" width="10.140625" style="43" customWidth="1"/>
    <col min="12807" max="12807" width="7.7109375" style="43" customWidth="1"/>
    <col min="12808" max="12808" width="8.85546875" style="43" customWidth="1"/>
    <col min="12809" max="12809" width="7.7109375" style="43" customWidth="1"/>
    <col min="12810" max="12810" width="9.7109375" style="43" customWidth="1"/>
    <col min="12811" max="12811" width="16.7109375" style="43" customWidth="1"/>
    <col min="12812" max="12812" width="11.42578125" style="43" customWidth="1"/>
    <col min="12813" max="12816" width="0" style="43" hidden="1" customWidth="1"/>
    <col min="12817" max="12817" width="8.42578125" style="43" customWidth="1"/>
    <col min="12818" max="12819" width="9" style="43" customWidth="1"/>
    <col min="12820" max="12820" width="9.85546875" style="43" customWidth="1"/>
    <col min="12821" max="12821" width="15.42578125" style="43" customWidth="1"/>
    <col min="12822" max="13043" width="9.140625" style="43"/>
    <col min="13044" max="13044" width="28.5703125" style="43" customWidth="1"/>
    <col min="13045" max="13047" width="7.7109375" style="43" customWidth="1"/>
    <col min="13048" max="13048" width="6.5703125" style="43" customWidth="1"/>
    <col min="13049" max="13049" width="13.42578125" style="43" customWidth="1"/>
    <col min="13050" max="13050" width="10.5703125" style="43" customWidth="1"/>
    <col min="13051" max="13051" width="7.7109375" style="43" customWidth="1"/>
    <col min="13052" max="13052" width="9.5703125" style="43" customWidth="1"/>
    <col min="13053" max="13057" width="7.7109375" style="43" customWidth="1"/>
    <col min="13058" max="13058" width="13.85546875" style="43" customWidth="1"/>
    <col min="13059" max="13059" width="14.140625" style="43" customWidth="1"/>
    <col min="13060" max="13061" width="7.7109375" style="43" customWidth="1"/>
    <col min="13062" max="13062" width="10.140625" style="43" customWidth="1"/>
    <col min="13063" max="13063" width="7.7109375" style="43" customWidth="1"/>
    <col min="13064" max="13064" width="8.85546875" style="43" customWidth="1"/>
    <col min="13065" max="13065" width="7.7109375" style="43" customWidth="1"/>
    <col min="13066" max="13066" width="9.7109375" style="43" customWidth="1"/>
    <col min="13067" max="13067" width="16.7109375" style="43" customWidth="1"/>
    <col min="13068" max="13068" width="11.42578125" style="43" customWidth="1"/>
    <col min="13069" max="13072" width="0" style="43" hidden="1" customWidth="1"/>
    <col min="13073" max="13073" width="8.42578125" style="43" customWidth="1"/>
    <col min="13074" max="13075" width="9" style="43" customWidth="1"/>
    <col min="13076" max="13076" width="9.85546875" style="43" customWidth="1"/>
    <col min="13077" max="13077" width="15.42578125" style="43" customWidth="1"/>
    <col min="13078" max="13299" width="9.140625" style="43"/>
    <col min="13300" max="13300" width="28.5703125" style="43" customWidth="1"/>
    <col min="13301" max="13303" width="7.7109375" style="43" customWidth="1"/>
    <col min="13304" max="13304" width="6.5703125" style="43" customWidth="1"/>
    <col min="13305" max="13305" width="13.42578125" style="43" customWidth="1"/>
    <col min="13306" max="13306" width="10.5703125" style="43" customWidth="1"/>
    <col min="13307" max="13307" width="7.7109375" style="43" customWidth="1"/>
    <col min="13308" max="13308" width="9.5703125" style="43" customWidth="1"/>
    <col min="13309" max="13313" width="7.7109375" style="43" customWidth="1"/>
    <col min="13314" max="13314" width="13.85546875" style="43" customWidth="1"/>
    <col min="13315" max="13315" width="14.140625" style="43" customWidth="1"/>
    <col min="13316" max="13317" width="7.7109375" style="43" customWidth="1"/>
    <col min="13318" max="13318" width="10.140625" style="43" customWidth="1"/>
    <col min="13319" max="13319" width="7.7109375" style="43" customWidth="1"/>
    <col min="13320" max="13320" width="8.85546875" style="43" customWidth="1"/>
    <col min="13321" max="13321" width="7.7109375" style="43" customWidth="1"/>
    <col min="13322" max="13322" width="9.7109375" style="43" customWidth="1"/>
    <col min="13323" max="13323" width="16.7109375" style="43" customWidth="1"/>
    <col min="13324" max="13324" width="11.42578125" style="43" customWidth="1"/>
    <col min="13325" max="13328" width="0" style="43" hidden="1" customWidth="1"/>
    <col min="13329" max="13329" width="8.42578125" style="43" customWidth="1"/>
    <col min="13330" max="13331" width="9" style="43" customWidth="1"/>
    <col min="13332" max="13332" width="9.85546875" style="43" customWidth="1"/>
    <col min="13333" max="13333" width="15.42578125" style="43" customWidth="1"/>
    <col min="13334" max="13555" width="9.140625" style="43"/>
    <col min="13556" max="13556" width="28.5703125" style="43" customWidth="1"/>
    <col min="13557" max="13559" width="7.7109375" style="43" customWidth="1"/>
    <col min="13560" max="13560" width="6.5703125" style="43" customWidth="1"/>
    <col min="13561" max="13561" width="13.42578125" style="43" customWidth="1"/>
    <col min="13562" max="13562" width="10.5703125" style="43" customWidth="1"/>
    <col min="13563" max="13563" width="7.7109375" style="43" customWidth="1"/>
    <col min="13564" max="13564" width="9.5703125" style="43" customWidth="1"/>
    <col min="13565" max="13569" width="7.7109375" style="43" customWidth="1"/>
    <col min="13570" max="13570" width="13.85546875" style="43" customWidth="1"/>
    <col min="13571" max="13571" width="14.140625" style="43" customWidth="1"/>
    <col min="13572" max="13573" width="7.7109375" style="43" customWidth="1"/>
    <col min="13574" max="13574" width="10.140625" style="43" customWidth="1"/>
    <col min="13575" max="13575" width="7.7109375" style="43" customWidth="1"/>
    <col min="13576" max="13576" width="8.85546875" style="43" customWidth="1"/>
    <col min="13577" max="13577" width="7.7109375" style="43" customWidth="1"/>
    <col min="13578" max="13578" width="9.7109375" style="43" customWidth="1"/>
    <col min="13579" max="13579" width="16.7109375" style="43" customWidth="1"/>
    <col min="13580" max="13580" width="11.42578125" style="43" customWidth="1"/>
    <col min="13581" max="13584" width="0" style="43" hidden="1" customWidth="1"/>
    <col min="13585" max="13585" width="8.42578125" style="43" customWidth="1"/>
    <col min="13586" max="13587" width="9" style="43" customWidth="1"/>
    <col min="13588" max="13588" width="9.85546875" style="43" customWidth="1"/>
    <col min="13589" max="13589" width="15.42578125" style="43" customWidth="1"/>
    <col min="13590" max="13811" width="9.140625" style="43"/>
    <col min="13812" max="13812" width="28.5703125" style="43" customWidth="1"/>
    <col min="13813" max="13815" width="7.7109375" style="43" customWidth="1"/>
    <col min="13816" max="13816" width="6.5703125" style="43" customWidth="1"/>
    <col min="13817" max="13817" width="13.42578125" style="43" customWidth="1"/>
    <col min="13818" max="13818" width="10.5703125" style="43" customWidth="1"/>
    <col min="13819" max="13819" width="7.7109375" style="43" customWidth="1"/>
    <col min="13820" max="13820" width="9.5703125" style="43" customWidth="1"/>
    <col min="13821" max="13825" width="7.7109375" style="43" customWidth="1"/>
    <col min="13826" max="13826" width="13.85546875" style="43" customWidth="1"/>
    <col min="13827" max="13827" width="14.140625" style="43" customWidth="1"/>
    <col min="13828" max="13829" width="7.7109375" style="43" customWidth="1"/>
    <col min="13830" max="13830" width="10.140625" style="43" customWidth="1"/>
    <col min="13831" max="13831" width="7.7109375" style="43" customWidth="1"/>
    <col min="13832" max="13832" width="8.85546875" style="43" customWidth="1"/>
    <col min="13833" max="13833" width="7.7109375" style="43" customWidth="1"/>
    <col min="13834" max="13834" width="9.7109375" style="43" customWidth="1"/>
    <col min="13835" max="13835" width="16.7109375" style="43" customWidth="1"/>
    <col min="13836" max="13836" width="11.42578125" style="43" customWidth="1"/>
    <col min="13837" max="13840" width="0" style="43" hidden="1" customWidth="1"/>
    <col min="13841" max="13841" width="8.42578125" style="43" customWidth="1"/>
    <col min="13842" max="13843" width="9" style="43" customWidth="1"/>
    <col min="13844" max="13844" width="9.85546875" style="43" customWidth="1"/>
    <col min="13845" max="13845" width="15.42578125" style="43" customWidth="1"/>
    <col min="13846" max="14067" width="9.140625" style="43"/>
    <col min="14068" max="14068" width="28.5703125" style="43" customWidth="1"/>
    <col min="14069" max="14071" width="7.7109375" style="43" customWidth="1"/>
    <col min="14072" max="14072" width="6.5703125" style="43" customWidth="1"/>
    <col min="14073" max="14073" width="13.42578125" style="43" customWidth="1"/>
    <col min="14074" max="14074" width="10.5703125" style="43" customWidth="1"/>
    <col min="14075" max="14075" width="7.7109375" style="43" customWidth="1"/>
    <col min="14076" max="14076" width="9.5703125" style="43" customWidth="1"/>
    <col min="14077" max="14081" width="7.7109375" style="43" customWidth="1"/>
    <col min="14082" max="14082" width="13.85546875" style="43" customWidth="1"/>
    <col min="14083" max="14083" width="14.140625" style="43" customWidth="1"/>
    <col min="14084" max="14085" width="7.7109375" style="43" customWidth="1"/>
    <col min="14086" max="14086" width="10.140625" style="43" customWidth="1"/>
    <col min="14087" max="14087" width="7.7109375" style="43" customWidth="1"/>
    <col min="14088" max="14088" width="8.85546875" style="43" customWidth="1"/>
    <col min="14089" max="14089" width="7.7109375" style="43" customWidth="1"/>
    <col min="14090" max="14090" width="9.7109375" style="43" customWidth="1"/>
    <col min="14091" max="14091" width="16.7109375" style="43" customWidth="1"/>
    <col min="14092" max="14092" width="11.42578125" style="43" customWidth="1"/>
    <col min="14093" max="14096" width="0" style="43" hidden="1" customWidth="1"/>
    <col min="14097" max="14097" width="8.42578125" style="43" customWidth="1"/>
    <col min="14098" max="14099" width="9" style="43" customWidth="1"/>
    <col min="14100" max="14100" width="9.85546875" style="43" customWidth="1"/>
    <col min="14101" max="14101" width="15.42578125" style="43" customWidth="1"/>
    <col min="14102" max="14323" width="9.140625" style="43"/>
    <col min="14324" max="14324" width="28.5703125" style="43" customWidth="1"/>
    <col min="14325" max="14327" width="7.7109375" style="43" customWidth="1"/>
    <col min="14328" max="14328" width="6.5703125" style="43" customWidth="1"/>
    <col min="14329" max="14329" width="13.42578125" style="43" customWidth="1"/>
    <col min="14330" max="14330" width="10.5703125" style="43" customWidth="1"/>
    <col min="14331" max="14331" width="7.7109375" style="43" customWidth="1"/>
    <col min="14332" max="14332" width="9.5703125" style="43" customWidth="1"/>
    <col min="14333" max="14337" width="7.7109375" style="43" customWidth="1"/>
    <col min="14338" max="14338" width="13.85546875" style="43" customWidth="1"/>
    <col min="14339" max="14339" width="14.140625" style="43" customWidth="1"/>
    <col min="14340" max="14341" width="7.7109375" style="43" customWidth="1"/>
    <col min="14342" max="14342" width="10.140625" style="43" customWidth="1"/>
    <col min="14343" max="14343" width="7.7109375" style="43" customWidth="1"/>
    <col min="14344" max="14344" width="8.85546875" style="43" customWidth="1"/>
    <col min="14345" max="14345" width="7.7109375" style="43" customWidth="1"/>
    <col min="14346" max="14346" width="9.7109375" style="43" customWidth="1"/>
    <col min="14347" max="14347" width="16.7109375" style="43" customWidth="1"/>
    <col min="14348" max="14348" width="11.42578125" style="43" customWidth="1"/>
    <col min="14349" max="14352" width="0" style="43" hidden="1" customWidth="1"/>
    <col min="14353" max="14353" width="8.42578125" style="43" customWidth="1"/>
    <col min="14354" max="14355" width="9" style="43" customWidth="1"/>
    <col min="14356" max="14356" width="9.85546875" style="43" customWidth="1"/>
    <col min="14357" max="14357" width="15.42578125" style="43" customWidth="1"/>
    <col min="14358" max="14579" width="9.140625" style="43"/>
    <col min="14580" max="14580" width="28.5703125" style="43" customWidth="1"/>
    <col min="14581" max="14583" width="7.7109375" style="43" customWidth="1"/>
    <col min="14584" max="14584" width="6.5703125" style="43" customWidth="1"/>
    <col min="14585" max="14585" width="13.42578125" style="43" customWidth="1"/>
    <col min="14586" max="14586" width="10.5703125" style="43" customWidth="1"/>
    <col min="14587" max="14587" width="7.7109375" style="43" customWidth="1"/>
    <col min="14588" max="14588" width="9.5703125" style="43" customWidth="1"/>
    <col min="14589" max="14593" width="7.7109375" style="43" customWidth="1"/>
    <col min="14594" max="14594" width="13.85546875" style="43" customWidth="1"/>
    <col min="14595" max="14595" width="14.140625" style="43" customWidth="1"/>
    <col min="14596" max="14597" width="7.7109375" style="43" customWidth="1"/>
    <col min="14598" max="14598" width="10.140625" style="43" customWidth="1"/>
    <col min="14599" max="14599" width="7.7109375" style="43" customWidth="1"/>
    <col min="14600" max="14600" width="8.85546875" style="43" customWidth="1"/>
    <col min="14601" max="14601" width="7.7109375" style="43" customWidth="1"/>
    <col min="14602" max="14602" width="9.7109375" style="43" customWidth="1"/>
    <col min="14603" max="14603" width="16.7109375" style="43" customWidth="1"/>
    <col min="14604" max="14604" width="11.42578125" style="43" customWidth="1"/>
    <col min="14605" max="14608" width="0" style="43" hidden="1" customWidth="1"/>
    <col min="14609" max="14609" width="8.42578125" style="43" customWidth="1"/>
    <col min="14610" max="14611" width="9" style="43" customWidth="1"/>
    <col min="14612" max="14612" width="9.85546875" style="43" customWidth="1"/>
    <col min="14613" max="14613" width="15.42578125" style="43" customWidth="1"/>
    <col min="14614" max="14835" width="9.140625" style="43"/>
    <col min="14836" max="14836" width="28.5703125" style="43" customWidth="1"/>
    <col min="14837" max="14839" width="7.7109375" style="43" customWidth="1"/>
    <col min="14840" max="14840" width="6.5703125" style="43" customWidth="1"/>
    <col min="14841" max="14841" width="13.42578125" style="43" customWidth="1"/>
    <col min="14842" max="14842" width="10.5703125" style="43" customWidth="1"/>
    <col min="14843" max="14843" width="7.7109375" style="43" customWidth="1"/>
    <col min="14844" max="14844" width="9.5703125" style="43" customWidth="1"/>
    <col min="14845" max="14849" width="7.7109375" style="43" customWidth="1"/>
    <col min="14850" max="14850" width="13.85546875" style="43" customWidth="1"/>
    <col min="14851" max="14851" width="14.140625" style="43" customWidth="1"/>
    <col min="14852" max="14853" width="7.7109375" style="43" customWidth="1"/>
    <col min="14854" max="14854" width="10.140625" style="43" customWidth="1"/>
    <col min="14855" max="14855" width="7.7109375" style="43" customWidth="1"/>
    <col min="14856" max="14856" width="8.85546875" style="43" customWidth="1"/>
    <col min="14857" max="14857" width="7.7109375" style="43" customWidth="1"/>
    <col min="14858" max="14858" width="9.7109375" style="43" customWidth="1"/>
    <col min="14859" max="14859" width="16.7109375" style="43" customWidth="1"/>
    <col min="14860" max="14860" width="11.42578125" style="43" customWidth="1"/>
    <col min="14861" max="14864" width="0" style="43" hidden="1" customWidth="1"/>
    <col min="14865" max="14865" width="8.42578125" style="43" customWidth="1"/>
    <col min="14866" max="14867" width="9" style="43" customWidth="1"/>
    <col min="14868" max="14868" width="9.85546875" style="43" customWidth="1"/>
    <col min="14869" max="14869" width="15.42578125" style="43" customWidth="1"/>
    <col min="14870" max="15091" width="9.140625" style="43"/>
    <col min="15092" max="15092" width="28.5703125" style="43" customWidth="1"/>
    <col min="15093" max="15095" width="7.7109375" style="43" customWidth="1"/>
    <col min="15096" max="15096" width="6.5703125" style="43" customWidth="1"/>
    <col min="15097" max="15097" width="13.42578125" style="43" customWidth="1"/>
    <col min="15098" max="15098" width="10.5703125" style="43" customWidth="1"/>
    <col min="15099" max="15099" width="7.7109375" style="43" customWidth="1"/>
    <col min="15100" max="15100" width="9.5703125" style="43" customWidth="1"/>
    <col min="15101" max="15105" width="7.7109375" style="43" customWidth="1"/>
    <col min="15106" max="15106" width="13.85546875" style="43" customWidth="1"/>
    <col min="15107" max="15107" width="14.140625" style="43" customWidth="1"/>
    <col min="15108" max="15109" width="7.7109375" style="43" customWidth="1"/>
    <col min="15110" max="15110" width="10.140625" style="43" customWidth="1"/>
    <col min="15111" max="15111" width="7.7109375" style="43" customWidth="1"/>
    <col min="15112" max="15112" width="8.85546875" style="43" customWidth="1"/>
    <col min="15113" max="15113" width="7.7109375" style="43" customWidth="1"/>
    <col min="15114" max="15114" width="9.7109375" style="43" customWidth="1"/>
    <col min="15115" max="15115" width="16.7109375" style="43" customWidth="1"/>
    <col min="15116" max="15116" width="11.42578125" style="43" customWidth="1"/>
    <col min="15117" max="15120" width="0" style="43" hidden="1" customWidth="1"/>
    <col min="15121" max="15121" width="8.42578125" style="43" customWidth="1"/>
    <col min="15122" max="15123" width="9" style="43" customWidth="1"/>
    <col min="15124" max="15124" width="9.85546875" style="43" customWidth="1"/>
    <col min="15125" max="15125" width="15.42578125" style="43" customWidth="1"/>
    <col min="15126" max="15347" width="9.140625" style="43"/>
    <col min="15348" max="15348" width="28.5703125" style="43" customWidth="1"/>
    <col min="15349" max="15351" width="7.7109375" style="43" customWidth="1"/>
    <col min="15352" max="15352" width="6.5703125" style="43" customWidth="1"/>
    <col min="15353" max="15353" width="13.42578125" style="43" customWidth="1"/>
    <col min="15354" max="15354" width="10.5703125" style="43" customWidth="1"/>
    <col min="15355" max="15355" width="7.7109375" style="43" customWidth="1"/>
    <col min="15356" max="15356" width="9.5703125" style="43" customWidth="1"/>
    <col min="15357" max="15361" width="7.7109375" style="43" customWidth="1"/>
    <col min="15362" max="15362" width="13.85546875" style="43" customWidth="1"/>
    <col min="15363" max="15363" width="14.140625" style="43" customWidth="1"/>
    <col min="15364" max="15365" width="7.7109375" style="43" customWidth="1"/>
    <col min="15366" max="15366" width="10.140625" style="43" customWidth="1"/>
    <col min="15367" max="15367" width="7.7109375" style="43" customWidth="1"/>
    <col min="15368" max="15368" width="8.85546875" style="43" customWidth="1"/>
    <col min="15369" max="15369" width="7.7109375" style="43" customWidth="1"/>
    <col min="15370" max="15370" width="9.7109375" style="43" customWidth="1"/>
    <col min="15371" max="15371" width="16.7109375" style="43" customWidth="1"/>
    <col min="15372" max="15372" width="11.42578125" style="43" customWidth="1"/>
    <col min="15373" max="15376" width="0" style="43" hidden="1" customWidth="1"/>
    <col min="15377" max="15377" width="8.42578125" style="43" customWidth="1"/>
    <col min="15378" max="15379" width="9" style="43" customWidth="1"/>
    <col min="15380" max="15380" width="9.85546875" style="43" customWidth="1"/>
    <col min="15381" max="15381" width="15.42578125" style="43" customWidth="1"/>
    <col min="15382" max="15603" width="9.140625" style="43"/>
    <col min="15604" max="15604" width="28.5703125" style="43" customWidth="1"/>
    <col min="15605" max="15607" width="7.7109375" style="43" customWidth="1"/>
    <col min="15608" max="15608" width="6.5703125" style="43" customWidth="1"/>
    <col min="15609" max="15609" width="13.42578125" style="43" customWidth="1"/>
    <col min="15610" max="15610" width="10.5703125" style="43" customWidth="1"/>
    <col min="15611" max="15611" width="7.7109375" style="43" customWidth="1"/>
    <col min="15612" max="15612" width="9.5703125" style="43" customWidth="1"/>
    <col min="15613" max="15617" width="7.7109375" style="43" customWidth="1"/>
    <col min="15618" max="15618" width="13.85546875" style="43" customWidth="1"/>
    <col min="15619" max="15619" width="14.140625" style="43" customWidth="1"/>
    <col min="15620" max="15621" width="7.7109375" style="43" customWidth="1"/>
    <col min="15622" max="15622" width="10.140625" style="43" customWidth="1"/>
    <col min="15623" max="15623" width="7.7109375" style="43" customWidth="1"/>
    <col min="15624" max="15624" width="8.85546875" style="43" customWidth="1"/>
    <col min="15625" max="15625" width="7.7109375" style="43" customWidth="1"/>
    <col min="15626" max="15626" width="9.7109375" style="43" customWidth="1"/>
    <col min="15627" max="15627" width="16.7109375" style="43" customWidth="1"/>
    <col min="15628" max="15628" width="11.42578125" style="43" customWidth="1"/>
    <col min="15629" max="15632" width="0" style="43" hidden="1" customWidth="1"/>
    <col min="15633" max="15633" width="8.42578125" style="43" customWidth="1"/>
    <col min="15634" max="15635" width="9" style="43" customWidth="1"/>
    <col min="15636" max="15636" width="9.85546875" style="43" customWidth="1"/>
    <col min="15637" max="15637" width="15.42578125" style="43" customWidth="1"/>
    <col min="15638" max="15859" width="9.140625" style="43"/>
    <col min="15860" max="15860" width="28.5703125" style="43" customWidth="1"/>
    <col min="15861" max="15863" width="7.7109375" style="43" customWidth="1"/>
    <col min="15864" max="15864" width="6.5703125" style="43" customWidth="1"/>
    <col min="15865" max="15865" width="13.42578125" style="43" customWidth="1"/>
    <col min="15866" max="15866" width="10.5703125" style="43" customWidth="1"/>
    <col min="15867" max="15867" width="7.7109375" style="43" customWidth="1"/>
    <col min="15868" max="15868" width="9.5703125" style="43" customWidth="1"/>
    <col min="15869" max="15873" width="7.7109375" style="43" customWidth="1"/>
    <col min="15874" max="15874" width="13.85546875" style="43" customWidth="1"/>
    <col min="15875" max="15875" width="14.140625" style="43" customWidth="1"/>
    <col min="15876" max="15877" width="7.7109375" style="43" customWidth="1"/>
    <col min="15878" max="15878" width="10.140625" style="43" customWidth="1"/>
    <col min="15879" max="15879" width="7.7109375" style="43" customWidth="1"/>
    <col min="15880" max="15880" width="8.85546875" style="43" customWidth="1"/>
    <col min="15881" max="15881" width="7.7109375" style="43" customWidth="1"/>
    <col min="15882" max="15882" width="9.7109375" style="43" customWidth="1"/>
    <col min="15883" max="15883" width="16.7109375" style="43" customWidth="1"/>
    <col min="15884" max="15884" width="11.42578125" style="43" customWidth="1"/>
    <col min="15885" max="15888" width="0" style="43" hidden="1" customWidth="1"/>
    <col min="15889" max="15889" width="8.42578125" style="43" customWidth="1"/>
    <col min="15890" max="15891" width="9" style="43" customWidth="1"/>
    <col min="15892" max="15892" width="9.85546875" style="43" customWidth="1"/>
    <col min="15893" max="15893" width="15.42578125" style="43" customWidth="1"/>
    <col min="15894" max="16115" width="9.140625" style="43"/>
    <col min="16116" max="16116" width="28.5703125" style="43" customWidth="1"/>
    <col min="16117" max="16119" width="7.7109375" style="43" customWidth="1"/>
    <col min="16120" max="16120" width="6.5703125" style="43" customWidth="1"/>
    <col min="16121" max="16121" width="13.42578125" style="43" customWidth="1"/>
    <col min="16122" max="16122" width="10.5703125" style="43" customWidth="1"/>
    <col min="16123" max="16123" width="7.7109375" style="43" customWidth="1"/>
    <col min="16124" max="16124" width="9.5703125" style="43" customWidth="1"/>
    <col min="16125" max="16129" width="7.7109375" style="43" customWidth="1"/>
    <col min="16130" max="16130" width="13.85546875" style="43" customWidth="1"/>
    <col min="16131" max="16131" width="14.140625" style="43" customWidth="1"/>
    <col min="16132" max="16133" width="7.7109375" style="43" customWidth="1"/>
    <col min="16134" max="16134" width="10.140625" style="43" customWidth="1"/>
    <col min="16135" max="16135" width="7.7109375" style="43" customWidth="1"/>
    <col min="16136" max="16136" width="8.85546875" style="43" customWidth="1"/>
    <col min="16137" max="16137" width="7.7109375" style="43" customWidth="1"/>
    <col min="16138" max="16138" width="9.7109375" style="43" customWidth="1"/>
    <col min="16139" max="16139" width="16.7109375" style="43" customWidth="1"/>
    <col min="16140" max="16140" width="11.42578125" style="43" customWidth="1"/>
    <col min="16141" max="16144" width="0" style="43" hidden="1" customWidth="1"/>
    <col min="16145" max="16145" width="8.42578125" style="43" customWidth="1"/>
    <col min="16146" max="16147" width="9" style="43" customWidth="1"/>
    <col min="16148" max="16148" width="9.85546875" style="43" customWidth="1"/>
    <col min="16149" max="16149" width="15.42578125" style="43" customWidth="1"/>
    <col min="16150" max="16384" width="9.140625" style="43"/>
  </cols>
  <sheetData>
    <row r="1" spans="1:24" s="143" customFormat="1">
      <c r="A1" s="141"/>
      <c r="B1" s="142"/>
      <c r="C1" s="189"/>
      <c r="D1" s="190"/>
      <c r="F1" s="161"/>
      <c r="H1" s="161"/>
      <c r="J1" s="161"/>
      <c r="L1" s="161"/>
      <c r="M1" s="179"/>
      <c r="N1" s="161"/>
      <c r="O1" s="161"/>
      <c r="P1" s="161"/>
      <c r="R1" s="161"/>
      <c r="V1" s="161"/>
      <c r="X1" s="178"/>
    </row>
    <row r="2" spans="1:24" s="143" customFormat="1" ht="18.75">
      <c r="A2" s="250" t="s">
        <v>133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</row>
    <row r="3" spans="1:24" s="144" customFormat="1" ht="13.5" customHeight="1" thickBot="1">
      <c r="A3" s="240" t="s">
        <v>134</v>
      </c>
      <c r="B3" s="251" t="s">
        <v>152</v>
      </c>
      <c r="C3" s="252"/>
      <c r="D3" s="257" t="s">
        <v>135</v>
      </c>
      <c r="E3" s="259" t="s">
        <v>136</v>
      </c>
      <c r="F3" s="259"/>
      <c r="G3" s="259"/>
      <c r="H3" s="259"/>
      <c r="I3" s="259"/>
      <c r="J3" s="259"/>
      <c r="K3" s="259"/>
      <c r="L3" s="260"/>
      <c r="M3" s="261" t="s">
        <v>137</v>
      </c>
      <c r="N3" s="264" t="s">
        <v>164</v>
      </c>
      <c r="O3" s="283" t="s">
        <v>136</v>
      </c>
      <c r="P3" s="259"/>
      <c r="Q3" s="260"/>
      <c r="R3" s="263" t="s">
        <v>136</v>
      </c>
      <c r="S3" s="263"/>
      <c r="T3" s="263"/>
      <c r="U3" s="286" t="s">
        <v>255</v>
      </c>
      <c r="V3" s="287"/>
      <c r="W3" s="278" t="s">
        <v>138</v>
      </c>
      <c r="X3" s="294" t="s">
        <v>139</v>
      </c>
    </row>
    <row r="4" spans="1:24" s="144" customFormat="1" ht="38.25" customHeight="1">
      <c r="A4" s="240"/>
      <c r="B4" s="253"/>
      <c r="C4" s="254"/>
      <c r="D4" s="258"/>
      <c r="E4" s="267" t="s">
        <v>140</v>
      </c>
      <c r="F4" s="268"/>
      <c r="G4" s="267" t="s">
        <v>160</v>
      </c>
      <c r="H4" s="268"/>
      <c r="I4" s="267" t="s">
        <v>141</v>
      </c>
      <c r="J4" s="268"/>
      <c r="K4" s="267" t="s">
        <v>142</v>
      </c>
      <c r="L4" s="268"/>
      <c r="M4" s="262"/>
      <c r="N4" s="265"/>
      <c r="O4" s="284"/>
      <c r="P4" s="293"/>
      <c r="Q4" s="285"/>
      <c r="R4" s="243" t="s">
        <v>143</v>
      </c>
      <c r="S4" s="283" t="s">
        <v>145</v>
      </c>
      <c r="T4" s="260"/>
      <c r="U4" s="288"/>
      <c r="V4" s="289"/>
      <c r="W4" s="279"/>
      <c r="X4" s="294"/>
    </row>
    <row r="5" spans="1:24" s="144" customFormat="1" ht="188.25" thickBot="1">
      <c r="A5" s="240"/>
      <c r="B5" s="255"/>
      <c r="C5" s="256"/>
      <c r="D5" s="258"/>
      <c r="E5" s="147" t="s">
        <v>156</v>
      </c>
      <c r="F5" s="162" t="s">
        <v>144</v>
      </c>
      <c r="G5" s="147" t="s">
        <v>157</v>
      </c>
      <c r="H5" s="162" t="s">
        <v>144</v>
      </c>
      <c r="I5" s="147" t="s">
        <v>157</v>
      </c>
      <c r="J5" s="162" t="s">
        <v>144</v>
      </c>
      <c r="K5" s="147" t="s">
        <v>158</v>
      </c>
      <c r="L5" s="162" t="s">
        <v>144</v>
      </c>
      <c r="M5" s="262"/>
      <c r="N5" s="266"/>
      <c r="O5" s="208" t="s">
        <v>168</v>
      </c>
      <c r="P5" s="183" t="s">
        <v>252</v>
      </c>
      <c r="Q5" s="145" t="s">
        <v>170</v>
      </c>
      <c r="R5" s="243"/>
      <c r="S5" s="284"/>
      <c r="T5" s="285"/>
      <c r="U5" s="290"/>
      <c r="V5" s="291"/>
      <c r="W5" s="279"/>
      <c r="X5" s="294"/>
    </row>
    <row r="6" spans="1:24" s="144" customFormat="1" ht="25.5" customHeight="1">
      <c r="A6" s="240"/>
      <c r="B6" s="276" t="s">
        <v>155</v>
      </c>
      <c r="C6" s="191" t="s">
        <v>153</v>
      </c>
      <c r="D6" s="192" t="s">
        <v>254</v>
      </c>
      <c r="E6" s="269" t="s">
        <v>147</v>
      </c>
      <c r="F6" s="163" t="s">
        <v>146</v>
      </c>
      <c r="G6" s="269" t="s">
        <v>148</v>
      </c>
      <c r="H6" s="163" t="s">
        <v>146</v>
      </c>
      <c r="I6" s="269" t="s">
        <v>148</v>
      </c>
      <c r="J6" s="163" t="s">
        <v>146</v>
      </c>
      <c r="K6" s="269" t="s">
        <v>149</v>
      </c>
      <c r="L6" s="163" t="s">
        <v>146</v>
      </c>
      <c r="M6" s="180" t="s">
        <v>167</v>
      </c>
      <c r="N6" s="176" t="s">
        <v>165</v>
      </c>
      <c r="O6" s="176" t="s">
        <v>250</v>
      </c>
      <c r="P6" s="292" t="s">
        <v>171</v>
      </c>
      <c r="Q6" s="273" t="s">
        <v>253</v>
      </c>
      <c r="R6" s="281" t="s">
        <v>259</v>
      </c>
      <c r="S6" s="273" t="s">
        <v>150</v>
      </c>
      <c r="T6" s="273" t="s">
        <v>151</v>
      </c>
      <c r="U6" s="271" t="s">
        <v>256</v>
      </c>
      <c r="V6" s="201" t="s">
        <v>257</v>
      </c>
      <c r="W6" s="279"/>
      <c r="X6" s="274" t="s">
        <v>251</v>
      </c>
    </row>
    <row r="7" spans="1:24" s="144" customFormat="1" ht="48">
      <c r="A7" s="148"/>
      <c r="B7" s="277"/>
      <c r="C7" s="193" t="s">
        <v>154</v>
      </c>
      <c r="D7" s="194" t="s">
        <v>159</v>
      </c>
      <c r="E7" s="270"/>
      <c r="F7" s="164" t="s">
        <v>161</v>
      </c>
      <c r="G7" s="270"/>
      <c r="H7" s="164" t="s">
        <v>162</v>
      </c>
      <c r="I7" s="270"/>
      <c r="J7" s="164" t="s">
        <v>162</v>
      </c>
      <c r="K7" s="270"/>
      <c r="L7" s="164" t="s">
        <v>163</v>
      </c>
      <c r="M7" s="139" t="s">
        <v>260</v>
      </c>
      <c r="N7" s="164" t="s">
        <v>166</v>
      </c>
      <c r="O7" s="164" t="s">
        <v>169</v>
      </c>
      <c r="P7" s="292"/>
      <c r="Q7" s="270"/>
      <c r="R7" s="282"/>
      <c r="S7" s="270"/>
      <c r="T7" s="270"/>
      <c r="U7" s="272"/>
      <c r="V7" s="202" t="s">
        <v>258</v>
      </c>
      <c r="W7" s="280"/>
      <c r="X7" s="275"/>
    </row>
    <row r="8" spans="1:24" s="144" customFormat="1" ht="12.75">
      <c r="A8" s="149"/>
      <c r="B8" s="150"/>
      <c r="C8" s="195"/>
      <c r="D8" s="196"/>
      <c r="E8" s="151"/>
      <c r="F8" s="165"/>
      <c r="G8" s="151"/>
      <c r="H8" s="165"/>
      <c r="I8" s="151"/>
      <c r="J8" s="165"/>
      <c r="K8" s="151"/>
      <c r="L8" s="165"/>
      <c r="M8" s="181"/>
      <c r="N8" s="165"/>
      <c r="O8" s="165"/>
      <c r="P8" s="146"/>
      <c r="Q8" s="151"/>
      <c r="R8" s="165"/>
      <c r="S8" s="151"/>
      <c r="T8" s="197"/>
      <c r="U8" s="197"/>
      <c r="V8" s="203"/>
      <c r="W8" s="198"/>
      <c r="X8" s="151"/>
    </row>
    <row r="9" spans="1:24" s="160" customFormat="1" ht="12.75">
      <c r="A9" s="118" t="s">
        <v>88</v>
      </c>
      <c r="B9" s="152">
        <v>0.8</v>
      </c>
      <c r="C9" s="185">
        <f>B9/$B$17</f>
        <v>1.0000000000000002</v>
      </c>
      <c r="D9" s="182">
        <f>0.6*F9+0.04*J9+0.03*L9+0.33</f>
        <v>0.96803168433941456</v>
      </c>
      <c r="E9" s="154">
        <f>(8324.02+8324.02*1.052)/2</f>
        <v>8540.4445200000009</v>
      </c>
      <c r="F9" s="166">
        <f>E9/$E$17</f>
        <v>1</v>
      </c>
      <c r="G9" s="154">
        <f>((4431.61+4431.61*1.052)/2)</f>
        <v>4546.8318600000002</v>
      </c>
      <c r="H9" s="166">
        <f>(G9/G17)</f>
        <v>5</v>
      </c>
      <c r="I9" s="154">
        <f>(36.43+36.43*1.052)/2</f>
        <v>37.377179999999996</v>
      </c>
      <c r="J9" s="166">
        <f>I9/I17</f>
        <v>0.68616094551961193</v>
      </c>
      <c r="K9" s="154">
        <f>(18.75+18.75*1.052)/2</f>
        <v>19.237500000000001</v>
      </c>
      <c r="L9" s="166">
        <f>K9/K17</f>
        <v>0.35284155062100114</v>
      </c>
      <c r="M9" s="206">
        <f>N9+O9+V9</f>
        <v>0.84421712238204694</v>
      </c>
      <c r="N9" s="186">
        <v>0</v>
      </c>
      <c r="O9" s="187">
        <f>(1+Q9)/(1+Q17)</f>
        <v>0.84421712238204694</v>
      </c>
      <c r="P9" s="187">
        <v>834</v>
      </c>
      <c r="Q9" s="174">
        <f>P9/W9</f>
        <v>0.10506424792139078</v>
      </c>
      <c r="R9" s="187">
        <f>(1+S9)/(1+S17/8)</f>
        <v>17.487873595102897</v>
      </c>
      <c r="S9" s="156">
        <f>W9/T9</f>
        <v>18.76595744680851</v>
      </c>
      <c r="T9" s="153">
        <f>42300*0.01</f>
        <v>423</v>
      </c>
      <c r="U9" s="23">
        <v>0</v>
      </c>
      <c r="V9" s="204"/>
      <c r="W9" s="175">
        <v>7938</v>
      </c>
      <c r="X9" s="188">
        <f>(0.6*C9+0.1*D9+0.3)*M9</f>
        <v>0.84151830243660897</v>
      </c>
    </row>
    <row r="10" spans="1:24" s="160" customFormat="1" ht="12.75">
      <c r="A10" s="119" t="s">
        <v>89</v>
      </c>
      <c r="B10" s="152">
        <v>0.8</v>
      </c>
      <c r="C10" s="185">
        <f>B10/B17</f>
        <v>1.0000000000000002</v>
      </c>
      <c r="D10" s="182">
        <f t="shared" ref="D10:D16" si="0">0.6*F10+0.04*J10+0.03*L10+0.33</f>
        <v>1.018599367012526</v>
      </c>
      <c r="E10" s="154">
        <f>(8324.02+8324.02*1.052)/2</f>
        <v>8540.4445200000009</v>
      </c>
      <c r="F10" s="166">
        <f>E10/$E$17</f>
        <v>1</v>
      </c>
      <c r="G10" s="154"/>
      <c r="H10" s="166"/>
      <c r="I10" s="154">
        <f>(49.47+49.47*1.052)/2</f>
        <v>50.756219999999999</v>
      </c>
      <c r="J10" s="166">
        <f>I10/I17</f>
        <v>0.93177002401469133</v>
      </c>
      <c r="K10" s="154">
        <f>(90.92+90.92*1.052)/2</f>
        <v>93.283919999999995</v>
      </c>
      <c r="L10" s="166">
        <f>K10/K17</f>
        <v>1.7109522017312759</v>
      </c>
      <c r="M10" s="206">
        <f>N10+O10+0.1*R10+V10</f>
        <v>3.8564605290231402</v>
      </c>
      <c r="N10" s="186">
        <v>1</v>
      </c>
      <c r="O10" s="199">
        <f>(1+Q10)/(1+Q17)</f>
        <v>0.80406506687140022</v>
      </c>
      <c r="P10" s="199">
        <v>88</v>
      </c>
      <c r="Q10" s="174">
        <f>P10/W10</f>
        <v>5.2505966587112173E-2</v>
      </c>
      <c r="R10" s="187">
        <f t="shared" ref="R10:R16" si="1">(1+S10)/(1+S18/8)</f>
        <v>1.5556771237409404</v>
      </c>
      <c r="S10" s="156">
        <f t="shared" ref="S10:S17" si="2">W10/T10</f>
        <v>0.55567712374094047</v>
      </c>
      <c r="T10" s="153">
        <f>301614*0.01</f>
        <v>3016.14</v>
      </c>
      <c r="U10" s="23">
        <v>90.4</v>
      </c>
      <c r="V10" s="204">
        <f>(1+U10)/(1+U17/7)</f>
        <v>1.896827749777646</v>
      </c>
      <c r="W10" s="175">
        <v>1676</v>
      </c>
      <c r="X10" s="188">
        <f t="shared" ref="X10:X16" si="3">(0.6*C10+0.1*D10+0.3)*M10</f>
        <v>3.8636333014980022</v>
      </c>
    </row>
    <row r="11" spans="1:24" s="160" customFormat="1" ht="12.75">
      <c r="A11" s="119" t="s">
        <v>90</v>
      </c>
      <c r="B11" s="152">
        <v>0.8</v>
      </c>
      <c r="C11" s="185">
        <f>B11/B17</f>
        <v>1.0000000000000002</v>
      </c>
      <c r="D11" s="182">
        <f t="shared" si="0"/>
        <v>0.33</v>
      </c>
      <c r="E11" s="154"/>
      <c r="F11" s="166"/>
      <c r="G11" s="154"/>
      <c r="H11" s="166"/>
      <c r="I11" s="154"/>
      <c r="J11" s="166"/>
      <c r="K11" s="154"/>
      <c r="L11" s="166"/>
      <c r="M11" s="206">
        <f t="shared" ref="M11:M16" si="4">N11+O11+0.1*R11+V11</f>
        <v>4.1523932805703829</v>
      </c>
      <c r="N11" s="186">
        <v>1</v>
      </c>
      <c r="O11" s="199">
        <f>(Q11+1)/(1+Q17)</f>
        <v>1.5279059547352232</v>
      </c>
      <c r="P11" s="199">
        <v>276</v>
      </c>
      <c r="Q11" s="174">
        <f t="shared" ref="Q11:Q16" si="5">P11/W11</f>
        <v>1</v>
      </c>
      <c r="R11" s="187">
        <f t="shared" si="1"/>
        <v>1.1159079455736602</v>
      </c>
      <c r="S11" s="156">
        <f t="shared" si="2"/>
        <v>0.11590794557366033</v>
      </c>
      <c r="T11" s="153">
        <f>238120*0.01</f>
        <v>2381.2000000000003</v>
      </c>
      <c r="U11" s="23">
        <v>71.900000000000006</v>
      </c>
      <c r="V11" s="204">
        <f>(1+U11)/(1+U17/7)</f>
        <v>1.5128965312777942</v>
      </c>
      <c r="W11" s="175">
        <v>276</v>
      </c>
      <c r="X11" s="188">
        <f t="shared" si="3"/>
        <v>3.8741829307721676</v>
      </c>
    </row>
    <row r="12" spans="1:24" s="160" customFormat="1" ht="12.75">
      <c r="A12" s="119" t="s">
        <v>91</v>
      </c>
      <c r="B12" s="152">
        <v>0.8</v>
      </c>
      <c r="C12" s="185">
        <f>B12/B17</f>
        <v>1.0000000000000002</v>
      </c>
      <c r="D12" s="182">
        <f t="shared" si="0"/>
        <v>0.33</v>
      </c>
      <c r="E12" s="154"/>
      <c r="F12" s="166"/>
      <c r="G12" s="154"/>
      <c r="H12" s="166"/>
      <c r="I12" s="154"/>
      <c r="J12" s="166"/>
      <c r="K12" s="154"/>
      <c r="L12" s="166"/>
      <c r="M12" s="206">
        <f>N12+O12+0.1*R12+V12</f>
        <v>3.7269656597880818</v>
      </c>
      <c r="N12" s="186">
        <v>1</v>
      </c>
      <c r="O12" s="199">
        <f>(1+Q12)/(1+Q17)</f>
        <v>1.5279059547352232</v>
      </c>
      <c r="P12" s="199">
        <v>841</v>
      </c>
      <c r="Q12" s="174">
        <f t="shared" si="5"/>
        <v>1</v>
      </c>
      <c r="R12" s="187">
        <f t="shared" si="1"/>
        <v>1.5103124374245303</v>
      </c>
      <c r="S12" s="156">
        <f t="shared" si="2"/>
        <v>0.51031243742453014</v>
      </c>
      <c r="T12" s="153">
        <f>164801*0.01</f>
        <v>1648.01</v>
      </c>
      <c r="U12" s="23">
        <v>49.5</v>
      </c>
      <c r="V12" s="204">
        <f>(1+U12)/(1+U17/7)</f>
        <v>1.0480284613104061</v>
      </c>
      <c r="W12" s="175">
        <v>841</v>
      </c>
      <c r="X12" s="188">
        <f t="shared" si="3"/>
        <v>3.4772589605822803</v>
      </c>
    </row>
    <row r="13" spans="1:24" s="160" customFormat="1" ht="12.75">
      <c r="A13" s="119" t="s">
        <v>92</v>
      </c>
      <c r="B13" s="152">
        <v>0.8</v>
      </c>
      <c r="C13" s="185">
        <f>B13/B17</f>
        <v>1.0000000000000002</v>
      </c>
      <c r="D13" s="182">
        <f t="shared" si="0"/>
        <v>0.92999999999999994</v>
      </c>
      <c r="E13" s="154">
        <f>(8324.02+8324.02*1.052)/2</f>
        <v>8540.4445200000009</v>
      </c>
      <c r="F13" s="166">
        <f t="shared" ref="F13:F16" si="6">E13/$E$17</f>
        <v>1</v>
      </c>
      <c r="G13" s="154"/>
      <c r="H13" s="166"/>
      <c r="I13" s="154"/>
      <c r="J13" s="166"/>
      <c r="K13" s="154"/>
      <c r="L13" s="166"/>
      <c r="M13" s="206">
        <f t="shared" si="4"/>
        <v>2.9375347768359399</v>
      </c>
      <c r="N13" s="186">
        <v>1</v>
      </c>
      <c r="O13" s="199">
        <f>(1+Q13)/(1+Q17)</f>
        <v>0.97482327869147911</v>
      </c>
      <c r="P13" s="199">
        <v>350</v>
      </c>
      <c r="Q13" s="174">
        <f t="shared" si="5"/>
        <v>0.27602523659305994</v>
      </c>
      <c r="R13" s="187">
        <f t="shared" si="1"/>
        <v>2.2597861940150219</v>
      </c>
      <c r="S13" s="156">
        <f t="shared" si="2"/>
        <v>1.2597861940150221</v>
      </c>
      <c r="T13" s="153">
        <f>100652*0.01</f>
        <v>1006.52</v>
      </c>
      <c r="U13" s="23">
        <v>34.5</v>
      </c>
      <c r="V13" s="204">
        <f>(U13+1)/(1+U17/7)</f>
        <v>0.73673287874295867</v>
      </c>
      <c r="W13" s="175">
        <v>1268</v>
      </c>
      <c r="X13" s="188">
        <f t="shared" si="3"/>
        <v>2.9169720333980886</v>
      </c>
    </row>
    <row r="14" spans="1:24" s="160" customFormat="1" ht="12.75">
      <c r="A14" s="119" t="s">
        <v>93</v>
      </c>
      <c r="B14" s="152">
        <v>0.8</v>
      </c>
      <c r="C14" s="185">
        <f>B15/B17</f>
        <v>1.0000000000000002</v>
      </c>
      <c r="D14" s="182">
        <f t="shared" si="0"/>
        <v>0.9861133870132317</v>
      </c>
      <c r="E14" s="154">
        <f>(8324.02+8324.02*1.052)/2</f>
        <v>8540.4445200000009</v>
      </c>
      <c r="F14" s="166">
        <f t="shared" si="6"/>
        <v>1</v>
      </c>
      <c r="G14" s="154"/>
      <c r="H14" s="166"/>
      <c r="I14" s="154">
        <f>(74.48+74.48*1.052)/2</f>
        <v>76.416480000000007</v>
      </c>
      <c r="J14" s="166">
        <f>I14/I17</f>
        <v>1.4028346753307908</v>
      </c>
      <c r="K14" s="154"/>
      <c r="L14" s="166"/>
      <c r="M14" s="206">
        <f t="shared" si="4"/>
        <v>3.4270855260122617</v>
      </c>
      <c r="N14" s="186">
        <v>1</v>
      </c>
      <c r="O14" s="199">
        <f>(1+Q14)/(1+Q17)</f>
        <v>1.5279059547352232</v>
      </c>
      <c r="P14" s="199">
        <v>535</v>
      </c>
      <c r="Q14" s="174">
        <f t="shared" si="5"/>
        <v>1</v>
      </c>
      <c r="R14" s="187">
        <f t="shared" si="1"/>
        <v>1.3131713427733518</v>
      </c>
      <c r="S14" s="156">
        <f t="shared" si="2"/>
        <v>0.31317134277335179</v>
      </c>
      <c r="T14" s="153">
        <f>170833*0.01</f>
        <v>1708.33</v>
      </c>
      <c r="U14" s="23">
        <v>36</v>
      </c>
      <c r="V14" s="204">
        <f>(1+U14)/(1+U17/7)</f>
        <v>0.76786243699970347</v>
      </c>
      <c r="W14" s="175">
        <v>535</v>
      </c>
      <c r="X14" s="188">
        <f t="shared" si="3"/>
        <v>3.4223264649750336</v>
      </c>
    </row>
    <row r="15" spans="1:24" s="160" customFormat="1" ht="12.75">
      <c r="A15" s="119" t="s">
        <v>94</v>
      </c>
      <c r="B15" s="152">
        <v>0.8</v>
      </c>
      <c r="C15" s="185">
        <f>B15/B16</f>
        <v>1</v>
      </c>
      <c r="D15" s="182">
        <f t="shared" si="0"/>
        <v>0.33</v>
      </c>
      <c r="E15" s="154"/>
      <c r="F15" s="166"/>
      <c r="G15" s="154"/>
      <c r="H15" s="166"/>
      <c r="I15" s="154"/>
      <c r="J15" s="166"/>
      <c r="K15" s="154"/>
      <c r="L15" s="166"/>
      <c r="M15" s="206">
        <f t="shared" si="4"/>
        <v>3.2250769549999561</v>
      </c>
      <c r="N15" s="186">
        <v>1</v>
      </c>
      <c r="O15" s="199">
        <f>(1+Q15)/(1+Q17)</f>
        <v>1.5279059547352232</v>
      </c>
      <c r="P15" s="199">
        <v>664</v>
      </c>
      <c r="Q15" s="174">
        <f t="shared" si="5"/>
        <v>1</v>
      </c>
      <c r="R15" s="187">
        <f t="shared" si="1"/>
        <v>1.3683895164332793</v>
      </c>
      <c r="S15" s="156">
        <f t="shared" si="2"/>
        <v>0.36838951643327933</v>
      </c>
      <c r="T15" s="153">
        <f>180244*0.01</f>
        <v>1802.44</v>
      </c>
      <c r="U15" s="23">
        <v>26</v>
      </c>
      <c r="V15" s="204">
        <f>(1+U15)/(1+U17/7)</f>
        <v>0.56033204862140518</v>
      </c>
      <c r="W15" s="175">
        <v>664</v>
      </c>
      <c r="X15" s="188">
        <f t="shared" si="3"/>
        <v>3.0089967990149593</v>
      </c>
    </row>
    <row r="16" spans="1:24" s="160" customFormat="1" ht="12.75">
      <c r="A16" s="119" t="s">
        <v>95</v>
      </c>
      <c r="B16" s="152">
        <v>0.8</v>
      </c>
      <c r="C16" s="185">
        <f>B16/B17</f>
        <v>1.0000000000000002</v>
      </c>
      <c r="D16" s="182">
        <f t="shared" si="0"/>
        <v>0.99725556163482798</v>
      </c>
      <c r="E16" s="154">
        <f>(8324.02+8324.02*1.052)/2</f>
        <v>8540.4445200000009</v>
      </c>
      <c r="F16" s="166">
        <f t="shared" si="6"/>
        <v>1</v>
      </c>
      <c r="G16" s="154"/>
      <c r="H16" s="166"/>
      <c r="I16" s="154">
        <f>(51.99+51.99*1.052)/2</f>
        <v>53.341740000000001</v>
      </c>
      <c r="J16" s="166">
        <f>I16/I17</f>
        <v>0.97923435513490609</v>
      </c>
      <c r="K16" s="155">
        <f>(49.75+49.75*1.052)/2</f>
        <v>51.043500000000002</v>
      </c>
      <c r="L16" s="166">
        <f>K16/K17</f>
        <v>0.93620624764772309</v>
      </c>
      <c r="M16" s="206">
        <f t="shared" si="4"/>
        <v>3.1573919554866201</v>
      </c>
      <c r="N16" s="186">
        <v>1</v>
      </c>
      <c r="O16" s="199">
        <f>(1+Q16)/(1+Q17)</f>
        <v>1.5279059547352232</v>
      </c>
      <c r="P16" s="199">
        <v>709</v>
      </c>
      <c r="Q16" s="174">
        <f t="shared" si="5"/>
        <v>1</v>
      </c>
      <c r="R16" s="187">
        <f t="shared" si="1"/>
        <v>1.5216610748131143</v>
      </c>
      <c r="S16" s="156">
        <f t="shared" si="2"/>
        <v>0.5216610748131143</v>
      </c>
      <c r="T16" s="153">
        <f>135912*0.01</f>
        <v>1359.1200000000001</v>
      </c>
      <c r="U16" s="23">
        <v>22</v>
      </c>
      <c r="V16" s="204">
        <f>(1+U16)/(1+U17/7)</f>
        <v>0.47731989327008595</v>
      </c>
      <c r="W16" s="175">
        <v>709</v>
      </c>
      <c r="X16" s="188">
        <f t="shared" si="3"/>
        <v>3.1565254287249678</v>
      </c>
    </row>
    <row r="17" spans="1:24" s="143" customFormat="1" thickBot="1">
      <c r="A17" s="168"/>
      <c r="B17" s="169">
        <f>SUM(B9:B16)/8</f>
        <v>0.79999999999999993</v>
      </c>
      <c r="C17" s="185">
        <v>1</v>
      </c>
      <c r="D17" s="182">
        <f>SUM(D9:D16)/8</f>
        <v>0.73625000000000007</v>
      </c>
      <c r="E17" s="170">
        <f>(E9+E10+E11+E12+E13+E14+E15+E16)/5</f>
        <v>8540.4445200000009</v>
      </c>
      <c r="F17" s="171"/>
      <c r="G17" s="172">
        <f>(G9+G10+G13+G14+G16)/5</f>
        <v>909.36637200000007</v>
      </c>
      <c r="H17" s="171"/>
      <c r="I17" s="172">
        <f>(I9+I10+I11+I12+I13+I14+I15+I16)/4</f>
        <v>54.472904999999997</v>
      </c>
      <c r="J17" s="172"/>
      <c r="K17" s="172">
        <f>(K9+K10+K11+K12+K13+K14+K15+K16)/3</f>
        <v>54.521639999999998</v>
      </c>
      <c r="L17" s="171"/>
      <c r="M17" s="206">
        <f>SUM(M9:M16)/8</f>
        <v>3.1658907256373037</v>
      </c>
      <c r="N17" s="177"/>
      <c r="O17" s="199"/>
      <c r="P17" s="184">
        <v>4297</v>
      </c>
      <c r="Q17" s="217">
        <f>P17/W17</f>
        <v>0.30898108866038687</v>
      </c>
      <c r="R17" s="187"/>
      <c r="S17" s="156">
        <f t="shared" si="2"/>
        <v>1.0421318929677266</v>
      </c>
      <c r="T17" s="170">
        <f>SUM(T9:T16)</f>
        <v>13344.760000000002</v>
      </c>
      <c r="U17" s="200">
        <f>SUM(U10:U16)</f>
        <v>330.3</v>
      </c>
      <c r="V17" s="204"/>
      <c r="W17" s="173">
        <f>SUM(W9:W16)</f>
        <v>13907</v>
      </c>
      <c r="X17" s="188">
        <f>(0.6*C17+0.1*D17+0.3)*M17</f>
        <v>3.0823903577486198</v>
      </c>
    </row>
    <row r="18" spans="1:24" s="143" customFormat="1">
      <c r="A18" s="141"/>
      <c r="B18" s="142"/>
      <c r="C18" s="189"/>
      <c r="D18" s="190"/>
      <c r="F18" s="161"/>
      <c r="H18" s="161"/>
      <c r="J18" s="161"/>
      <c r="L18" s="161"/>
      <c r="M18" s="179"/>
      <c r="N18" s="161"/>
      <c r="O18" s="161"/>
      <c r="P18" s="161"/>
      <c r="R18" s="161"/>
      <c r="T18" s="157"/>
      <c r="U18" s="157"/>
      <c r="V18" s="205"/>
    </row>
    <row r="19" spans="1:24" s="143" customFormat="1">
      <c r="A19" s="141"/>
      <c r="B19" s="142"/>
      <c r="C19" s="189"/>
      <c r="D19" s="190"/>
      <c r="F19" s="161"/>
      <c r="H19" s="161"/>
      <c r="J19" s="161"/>
      <c r="L19" s="161"/>
      <c r="M19" s="179"/>
      <c r="N19" s="161"/>
      <c r="O19" s="161"/>
      <c r="P19" s="161"/>
      <c r="R19" s="161"/>
      <c r="V19" s="161"/>
    </row>
    <row r="20" spans="1:24" s="143" customFormat="1">
      <c r="A20" s="141"/>
      <c r="B20" s="142"/>
      <c r="C20" s="189"/>
      <c r="D20" s="190"/>
      <c r="F20" s="161"/>
      <c r="H20" s="161"/>
      <c r="J20" s="161"/>
      <c r="L20" s="161"/>
      <c r="M20" s="179"/>
      <c r="N20" s="161"/>
      <c r="O20" s="161"/>
      <c r="P20" s="161"/>
      <c r="R20" s="161"/>
      <c r="V20" s="161"/>
    </row>
  </sheetData>
  <mergeCells count="30">
    <mergeCell ref="K6:K7"/>
    <mergeCell ref="U6:U7"/>
    <mergeCell ref="T6:T7"/>
    <mergeCell ref="X6:X7"/>
    <mergeCell ref="B6:B7"/>
    <mergeCell ref="Q6:Q7"/>
    <mergeCell ref="W3:W7"/>
    <mergeCell ref="R6:R7"/>
    <mergeCell ref="S6:S7"/>
    <mergeCell ref="S4:T5"/>
    <mergeCell ref="U3:V5"/>
    <mergeCell ref="P6:P7"/>
    <mergeCell ref="O3:Q4"/>
    <mergeCell ref="X3:X5"/>
    <mergeCell ref="A2:X2"/>
    <mergeCell ref="A3:A6"/>
    <mergeCell ref="B3:C5"/>
    <mergeCell ref="D3:D5"/>
    <mergeCell ref="E3:L3"/>
    <mergeCell ref="M3:M5"/>
    <mergeCell ref="R3:T3"/>
    <mergeCell ref="N3:N5"/>
    <mergeCell ref="E4:F4"/>
    <mergeCell ref="I4:J4"/>
    <mergeCell ref="K4:L4"/>
    <mergeCell ref="R4:R5"/>
    <mergeCell ref="G4:H4"/>
    <mergeCell ref="E6:E7"/>
    <mergeCell ref="G6:G7"/>
    <mergeCell ref="I6:I7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2:J77"/>
  <sheetViews>
    <sheetView topLeftCell="A49" workbookViewId="0">
      <selection activeCell="F88" sqref="F88"/>
    </sheetView>
  </sheetViews>
  <sheetFormatPr defaultRowHeight="12.75"/>
  <cols>
    <col min="1" max="1" width="19.140625" customWidth="1"/>
    <col min="2" max="2" width="12.7109375" customWidth="1"/>
  </cols>
  <sheetData>
    <row r="2" spans="1:10">
      <c r="B2" t="s">
        <v>172</v>
      </c>
      <c r="C2" t="s">
        <v>93</v>
      </c>
      <c r="D2" t="s">
        <v>95</v>
      </c>
      <c r="E2" t="s">
        <v>94</v>
      </c>
      <c r="F2" t="s">
        <v>91</v>
      </c>
      <c r="G2" t="s">
        <v>90</v>
      </c>
      <c r="H2" t="s">
        <v>89</v>
      </c>
      <c r="I2" t="s">
        <v>92</v>
      </c>
    </row>
    <row r="3" spans="1:10">
      <c r="A3" t="s">
        <v>173</v>
      </c>
      <c r="B3">
        <f>834+7104</f>
        <v>7938</v>
      </c>
      <c r="C3">
        <v>535</v>
      </c>
      <c r="D3">
        <v>709</v>
      </c>
      <c r="E3">
        <v>664</v>
      </c>
      <c r="F3">
        <v>841</v>
      </c>
      <c r="G3">
        <v>276</v>
      </c>
      <c r="H3">
        <v>1676</v>
      </c>
      <c r="I3">
        <v>1268</v>
      </c>
      <c r="J3">
        <f>B3+C3+D3+E3+F3+G3+H3+I3</f>
        <v>13907</v>
      </c>
    </row>
    <row r="4" spans="1:10">
      <c r="A4" t="s">
        <v>249</v>
      </c>
      <c r="B4">
        <v>7104</v>
      </c>
    </row>
    <row r="5" spans="1:10">
      <c r="A5" t="s">
        <v>174</v>
      </c>
      <c r="B5">
        <v>5</v>
      </c>
      <c r="C5" t="s">
        <v>175</v>
      </c>
      <c r="D5" t="s">
        <v>175</v>
      </c>
      <c r="E5" t="s">
        <v>175</v>
      </c>
      <c r="F5" t="s">
        <v>175</v>
      </c>
      <c r="G5" t="s">
        <v>175</v>
      </c>
      <c r="H5" t="s">
        <v>175</v>
      </c>
      <c r="I5" t="s">
        <v>175</v>
      </c>
    </row>
    <row r="6" spans="1:10">
      <c r="A6" t="s">
        <v>176</v>
      </c>
      <c r="B6" t="s">
        <v>177</v>
      </c>
      <c r="C6" t="s">
        <v>175</v>
      </c>
      <c r="D6" t="s">
        <v>175</v>
      </c>
      <c r="E6" t="s">
        <v>175</v>
      </c>
      <c r="F6" t="s">
        <v>175</v>
      </c>
      <c r="G6" t="s">
        <v>175</v>
      </c>
      <c r="H6" t="s">
        <v>175</v>
      </c>
      <c r="I6" t="s">
        <v>175</v>
      </c>
    </row>
    <row r="7" spans="1:10">
      <c r="A7" t="s">
        <v>178</v>
      </c>
      <c r="B7">
        <v>6</v>
      </c>
      <c r="C7" t="s">
        <v>175</v>
      </c>
      <c r="D7" t="s">
        <v>175</v>
      </c>
      <c r="E7" t="s">
        <v>175</v>
      </c>
      <c r="F7" t="s">
        <v>175</v>
      </c>
      <c r="G7" t="s">
        <v>175</v>
      </c>
      <c r="H7" t="s">
        <v>175</v>
      </c>
      <c r="I7" t="s">
        <v>175</v>
      </c>
    </row>
    <row r="8" spans="1:10">
      <c r="A8" t="s">
        <v>179</v>
      </c>
      <c r="B8">
        <v>49</v>
      </c>
      <c r="C8" t="s">
        <v>175</v>
      </c>
      <c r="D8" t="s">
        <v>175</v>
      </c>
      <c r="E8" t="s">
        <v>175</v>
      </c>
      <c r="F8" t="s">
        <v>175</v>
      </c>
      <c r="G8" t="s">
        <v>175</v>
      </c>
      <c r="H8" t="s">
        <v>175</v>
      </c>
      <c r="I8" t="s">
        <v>175</v>
      </c>
    </row>
    <row r="9" spans="1:10">
      <c r="A9" t="s">
        <v>180</v>
      </c>
      <c r="B9">
        <v>265</v>
      </c>
      <c r="C9" t="s">
        <v>175</v>
      </c>
      <c r="D9" t="s">
        <v>175</v>
      </c>
      <c r="E9" t="s">
        <v>175</v>
      </c>
      <c r="F9" t="s">
        <v>175</v>
      </c>
      <c r="G9" t="s">
        <v>175</v>
      </c>
      <c r="H9" t="s">
        <v>175</v>
      </c>
      <c r="I9" t="s">
        <v>175</v>
      </c>
    </row>
    <row r="10" spans="1:10">
      <c r="A10" t="s">
        <v>181</v>
      </c>
      <c r="B10">
        <v>23</v>
      </c>
      <c r="C10" t="s">
        <v>175</v>
      </c>
      <c r="D10" t="s">
        <v>175</v>
      </c>
      <c r="E10" t="s">
        <v>175</v>
      </c>
      <c r="F10" t="s">
        <v>175</v>
      </c>
      <c r="G10" t="s">
        <v>175</v>
      </c>
      <c r="H10" t="s">
        <v>175</v>
      </c>
      <c r="I10" t="s">
        <v>175</v>
      </c>
    </row>
    <row r="11" spans="1:10">
      <c r="A11" t="s">
        <v>182</v>
      </c>
      <c r="B11" t="s">
        <v>177</v>
      </c>
      <c r="C11" t="s">
        <v>175</v>
      </c>
      <c r="D11" t="s">
        <v>175</v>
      </c>
      <c r="E11" t="s">
        <v>175</v>
      </c>
      <c r="F11" t="s">
        <v>175</v>
      </c>
      <c r="G11" t="s">
        <v>175</v>
      </c>
      <c r="H11" t="s">
        <v>175</v>
      </c>
      <c r="I11" t="s">
        <v>175</v>
      </c>
    </row>
    <row r="12" spans="1:10">
      <c r="A12" t="s">
        <v>183</v>
      </c>
      <c r="B12">
        <v>15</v>
      </c>
      <c r="C12" t="s">
        <v>175</v>
      </c>
      <c r="D12" t="s">
        <v>175</v>
      </c>
      <c r="E12" t="s">
        <v>175</v>
      </c>
      <c r="F12" t="s">
        <v>175</v>
      </c>
      <c r="G12" t="s">
        <v>175</v>
      </c>
      <c r="H12" t="s">
        <v>175</v>
      </c>
      <c r="I12" t="s">
        <v>175</v>
      </c>
    </row>
    <row r="13" spans="1:10">
      <c r="A13" t="s">
        <v>184</v>
      </c>
      <c r="B13">
        <v>413</v>
      </c>
      <c r="C13" t="s">
        <v>175</v>
      </c>
      <c r="D13" t="s">
        <v>175</v>
      </c>
      <c r="E13" t="s">
        <v>175</v>
      </c>
      <c r="F13" t="s">
        <v>175</v>
      </c>
      <c r="G13" t="s">
        <v>175</v>
      </c>
      <c r="H13" t="s">
        <v>175</v>
      </c>
      <c r="I13" t="s">
        <v>175</v>
      </c>
    </row>
    <row r="14" spans="1:10">
      <c r="A14" t="s">
        <v>185</v>
      </c>
      <c r="B14">
        <v>47</v>
      </c>
      <c r="C14" t="s">
        <v>175</v>
      </c>
      <c r="D14" t="s">
        <v>175</v>
      </c>
      <c r="E14" t="s">
        <v>175</v>
      </c>
      <c r="F14" t="s">
        <v>175</v>
      </c>
      <c r="G14" t="s">
        <v>175</v>
      </c>
      <c r="H14" t="s">
        <v>175</v>
      </c>
      <c r="I14" t="s">
        <v>175</v>
      </c>
    </row>
    <row r="15" spans="1:10">
      <c r="A15" t="s">
        <v>186</v>
      </c>
      <c r="B15">
        <v>11</v>
      </c>
      <c r="C15" t="s">
        <v>175</v>
      </c>
      <c r="D15" t="s">
        <v>175</v>
      </c>
      <c r="E15" t="s">
        <v>175</v>
      </c>
      <c r="F15" t="s">
        <v>175</v>
      </c>
      <c r="G15" t="s">
        <v>175</v>
      </c>
      <c r="H15" t="s">
        <v>175</v>
      </c>
      <c r="I15" t="s">
        <v>175</v>
      </c>
    </row>
    <row r="16" spans="1:10">
      <c r="A16" t="s">
        <v>187</v>
      </c>
      <c r="B16" t="s">
        <v>175</v>
      </c>
      <c r="C16">
        <v>248</v>
      </c>
      <c r="D16" t="s">
        <v>175</v>
      </c>
      <c r="E16" t="s">
        <v>175</v>
      </c>
      <c r="F16" t="s">
        <v>175</v>
      </c>
      <c r="G16" t="s">
        <v>175</v>
      </c>
      <c r="H16" t="s">
        <v>175</v>
      </c>
      <c r="I16" t="s">
        <v>175</v>
      </c>
    </row>
    <row r="17" spans="1:9">
      <c r="A17" t="s">
        <v>188</v>
      </c>
      <c r="B17" t="s">
        <v>175</v>
      </c>
      <c r="C17" t="s">
        <v>177</v>
      </c>
      <c r="D17" t="s">
        <v>175</v>
      </c>
      <c r="E17" t="s">
        <v>175</v>
      </c>
      <c r="F17" t="s">
        <v>175</v>
      </c>
      <c r="G17" t="s">
        <v>175</v>
      </c>
      <c r="H17" t="s">
        <v>175</v>
      </c>
      <c r="I17" t="s">
        <v>175</v>
      </c>
    </row>
    <row r="18" spans="1:9">
      <c r="A18" t="s">
        <v>189</v>
      </c>
      <c r="B18" t="s">
        <v>175</v>
      </c>
      <c r="C18" t="s">
        <v>177</v>
      </c>
      <c r="D18" t="s">
        <v>175</v>
      </c>
      <c r="E18" t="s">
        <v>175</v>
      </c>
      <c r="F18" t="s">
        <v>175</v>
      </c>
      <c r="G18" t="s">
        <v>175</v>
      </c>
      <c r="H18" t="s">
        <v>175</v>
      </c>
      <c r="I18" t="s">
        <v>175</v>
      </c>
    </row>
    <row r="19" spans="1:9">
      <c r="A19" t="s">
        <v>190</v>
      </c>
      <c r="B19" t="s">
        <v>175</v>
      </c>
      <c r="C19">
        <v>4</v>
      </c>
      <c r="D19" t="s">
        <v>175</v>
      </c>
      <c r="E19" t="s">
        <v>175</v>
      </c>
      <c r="F19" t="s">
        <v>175</v>
      </c>
      <c r="G19" t="s">
        <v>175</v>
      </c>
      <c r="H19" t="s">
        <v>175</v>
      </c>
      <c r="I19" t="s">
        <v>175</v>
      </c>
    </row>
    <row r="20" spans="1:9">
      <c r="A20" t="s">
        <v>191</v>
      </c>
      <c r="B20" t="s">
        <v>175</v>
      </c>
      <c r="C20">
        <v>180</v>
      </c>
      <c r="D20" t="s">
        <v>175</v>
      </c>
      <c r="E20" t="s">
        <v>175</v>
      </c>
      <c r="F20" t="s">
        <v>175</v>
      </c>
      <c r="G20" t="s">
        <v>175</v>
      </c>
      <c r="H20" t="s">
        <v>175</v>
      </c>
      <c r="I20" t="s">
        <v>175</v>
      </c>
    </row>
    <row r="21" spans="1:9">
      <c r="A21" t="s">
        <v>192</v>
      </c>
      <c r="B21" t="s">
        <v>175</v>
      </c>
      <c r="C21">
        <v>51</v>
      </c>
      <c r="D21" t="s">
        <v>175</v>
      </c>
      <c r="E21" t="s">
        <v>175</v>
      </c>
      <c r="F21" t="s">
        <v>175</v>
      </c>
      <c r="G21" t="s">
        <v>175</v>
      </c>
      <c r="H21" t="s">
        <v>175</v>
      </c>
      <c r="I21" t="s">
        <v>175</v>
      </c>
    </row>
    <row r="22" spans="1:9">
      <c r="A22" t="s">
        <v>193</v>
      </c>
      <c r="B22" t="s">
        <v>175</v>
      </c>
      <c r="C22">
        <v>52</v>
      </c>
      <c r="D22" t="s">
        <v>175</v>
      </c>
      <c r="E22" t="s">
        <v>175</v>
      </c>
      <c r="F22" t="s">
        <v>175</v>
      </c>
      <c r="G22" t="s">
        <v>175</v>
      </c>
      <c r="H22" t="s">
        <v>175</v>
      </c>
      <c r="I22" t="s">
        <v>175</v>
      </c>
    </row>
    <row r="23" spans="1:9">
      <c r="A23" t="s">
        <v>194</v>
      </c>
      <c r="B23" t="s">
        <v>175</v>
      </c>
      <c r="C23" t="s">
        <v>175</v>
      </c>
      <c r="D23">
        <v>55</v>
      </c>
      <c r="E23" t="s">
        <v>175</v>
      </c>
      <c r="F23" t="s">
        <v>175</v>
      </c>
      <c r="G23" t="s">
        <v>175</v>
      </c>
      <c r="H23" t="s">
        <v>175</v>
      </c>
      <c r="I23" t="s">
        <v>175</v>
      </c>
    </row>
    <row r="24" spans="1:9">
      <c r="A24" t="s">
        <v>195</v>
      </c>
      <c r="B24" t="s">
        <v>175</v>
      </c>
      <c r="C24" t="s">
        <v>175</v>
      </c>
      <c r="D24">
        <v>213</v>
      </c>
      <c r="E24" t="s">
        <v>175</v>
      </c>
      <c r="F24" t="s">
        <v>175</v>
      </c>
      <c r="G24" t="s">
        <v>175</v>
      </c>
      <c r="H24" t="s">
        <v>175</v>
      </c>
      <c r="I24" t="s">
        <v>175</v>
      </c>
    </row>
    <row r="25" spans="1:9">
      <c r="A25" t="s">
        <v>196</v>
      </c>
      <c r="B25" t="s">
        <v>175</v>
      </c>
      <c r="C25" t="s">
        <v>175</v>
      </c>
      <c r="D25">
        <v>295</v>
      </c>
      <c r="E25" t="s">
        <v>175</v>
      </c>
      <c r="F25" t="s">
        <v>175</v>
      </c>
      <c r="G25" t="s">
        <v>175</v>
      </c>
      <c r="H25" t="s">
        <v>175</v>
      </c>
      <c r="I25" t="s">
        <v>175</v>
      </c>
    </row>
    <row r="26" spans="1:9">
      <c r="A26" t="s">
        <v>197</v>
      </c>
      <c r="B26" t="s">
        <v>175</v>
      </c>
      <c r="C26" t="s">
        <v>175</v>
      </c>
      <c r="D26">
        <v>46</v>
      </c>
      <c r="E26" t="s">
        <v>175</v>
      </c>
      <c r="F26" t="s">
        <v>175</v>
      </c>
      <c r="G26" t="s">
        <v>175</v>
      </c>
      <c r="H26" t="s">
        <v>175</v>
      </c>
      <c r="I26" t="s">
        <v>175</v>
      </c>
    </row>
    <row r="27" spans="1:9">
      <c r="A27" t="s">
        <v>198</v>
      </c>
      <c r="B27" t="s">
        <v>175</v>
      </c>
      <c r="C27" t="s">
        <v>175</v>
      </c>
      <c r="D27">
        <v>100</v>
      </c>
      <c r="E27" t="s">
        <v>175</v>
      </c>
      <c r="F27" t="s">
        <v>175</v>
      </c>
      <c r="G27" t="s">
        <v>175</v>
      </c>
      <c r="H27" t="s">
        <v>175</v>
      </c>
      <c r="I27" t="s">
        <v>175</v>
      </c>
    </row>
    <row r="28" spans="1:9">
      <c r="A28" t="s">
        <v>199</v>
      </c>
      <c r="B28" t="s">
        <v>175</v>
      </c>
      <c r="C28" t="s">
        <v>175</v>
      </c>
      <c r="D28" t="s">
        <v>175</v>
      </c>
      <c r="E28">
        <v>1</v>
      </c>
      <c r="F28" t="s">
        <v>175</v>
      </c>
      <c r="G28" t="s">
        <v>175</v>
      </c>
      <c r="H28" t="s">
        <v>175</v>
      </c>
      <c r="I28" t="s">
        <v>175</v>
      </c>
    </row>
    <row r="29" spans="1:9">
      <c r="A29" t="s">
        <v>200</v>
      </c>
      <c r="B29" t="s">
        <v>175</v>
      </c>
      <c r="C29" t="s">
        <v>175</v>
      </c>
      <c r="D29" t="s">
        <v>175</v>
      </c>
      <c r="E29" t="s">
        <v>177</v>
      </c>
      <c r="F29" t="s">
        <v>175</v>
      </c>
      <c r="G29" t="s">
        <v>175</v>
      </c>
      <c r="H29" t="s">
        <v>175</v>
      </c>
      <c r="I29" t="s">
        <v>175</v>
      </c>
    </row>
    <row r="30" spans="1:9">
      <c r="A30" t="s">
        <v>201</v>
      </c>
      <c r="B30" t="s">
        <v>175</v>
      </c>
      <c r="C30" t="s">
        <v>175</v>
      </c>
      <c r="D30" t="s">
        <v>175</v>
      </c>
      <c r="E30">
        <v>7</v>
      </c>
      <c r="F30" t="s">
        <v>175</v>
      </c>
      <c r="G30" t="s">
        <v>175</v>
      </c>
      <c r="H30" t="s">
        <v>175</v>
      </c>
      <c r="I30" t="s">
        <v>175</v>
      </c>
    </row>
    <row r="31" spans="1:9">
      <c r="A31" t="s">
        <v>202</v>
      </c>
      <c r="B31" t="s">
        <v>175</v>
      </c>
      <c r="C31" t="s">
        <v>175</v>
      </c>
      <c r="D31" t="s">
        <v>175</v>
      </c>
      <c r="E31">
        <v>27</v>
      </c>
      <c r="F31" t="s">
        <v>175</v>
      </c>
      <c r="G31" t="s">
        <v>175</v>
      </c>
      <c r="H31" t="s">
        <v>175</v>
      </c>
      <c r="I31" t="s">
        <v>175</v>
      </c>
    </row>
    <row r="32" spans="1:9">
      <c r="A32" t="s">
        <v>203</v>
      </c>
      <c r="B32" t="s">
        <v>175</v>
      </c>
      <c r="C32" t="s">
        <v>175</v>
      </c>
      <c r="D32" t="s">
        <v>175</v>
      </c>
      <c r="E32">
        <v>443</v>
      </c>
      <c r="F32" t="s">
        <v>175</v>
      </c>
      <c r="G32" t="s">
        <v>175</v>
      </c>
      <c r="H32" t="s">
        <v>175</v>
      </c>
      <c r="I32" t="s">
        <v>175</v>
      </c>
    </row>
    <row r="33" spans="1:9">
      <c r="A33" t="s">
        <v>204</v>
      </c>
      <c r="B33" t="s">
        <v>175</v>
      </c>
      <c r="C33" t="s">
        <v>175</v>
      </c>
      <c r="D33" t="s">
        <v>175</v>
      </c>
      <c r="E33" t="s">
        <v>177</v>
      </c>
      <c r="F33" t="s">
        <v>175</v>
      </c>
      <c r="G33" t="s">
        <v>175</v>
      </c>
      <c r="H33" t="s">
        <v>175</v>
      </c>
      <c r="I33" t="s">
        <v>175</v>
      </c>
    </row>
    <row r="34" spans="1:9">
      <c r="A34" t="s">
        <v>205</v>
      </c>
      <c r="B34" t="s">
        <v>175</v>
      </c>
      <c r="C34" t="s">
        <v>175</v>
      </c>
      <c r="D34" t="s">
        <v>175</v>
      </c>
      <c r="E34" t="s">
        <v>177</v>
      </c>
      <c r="F34" t="s">
        <v>175</v>
      </c>
      <c r="G34" t="s">
        <v>175</v>
      </c>
      <c r="H34" t="s">
        <v>175</v>
      </c>
      <c r="I34" t="s">
        <v>175</v>
      </c>
    </row>
    <row r="35" spans="1:9">
      <c r="A35" t="s">
        <v>206</v>
      </c>
      <c r="B35" t="s">
        <v>175</v>
      </c>
      <c r="C35" t="s">
        <v>175</v>
      </c>
      <c r="D35" t="s">
        <v>175</v>
      </c>
      <c r="E35">
        <v>3</v>
      </c>
      <c r="F35" t="s">
        <v>175</v>
      </c>
      <c r="G35" t="s">
        <v>175</v>
      </c>
      <c r="H35" t="s">
        <v>175</v>
      </c>
      <c r="I35" t="s">
        <v>175</v>
      </c>
    </row>
    <row r="36" spans="1:9">
      <c r="A36" t="s">
        <v>207</v>
      </c>
      <c r="B36" t="s">
        <v>175</v>
      </c>
      <c r="C36" t="s">
        <v>175</v>
      </c>
      <c r="D36" t="s">
        <v>175</v>
      </c>
      <c r="E36">
        <v>50</v>
      </c>
      <c r="F36" t="s">
        <v>175</v>
      </c>
      <c r="G36" t="s">
        <v>175</v>
      </c>
      <c r="H36" t="s">
        <v>175</v>
      </c>
      <c r="I36" t="s">
        <v>175</v>
      </c>
    </row>
    <row r="37" spans="1:9">
      <c r="A37" t="s">
        <v>208</v>
      </c>
      <c r="B37" t="s">
        <v>175</v>
      </c>
      <c r="C37" t="s">
        <v>175</v>
      </c>
      <c r="D37" t="s">
        <v>175</v>
      </c>
      <c r="E37">
        <v>69</v>
      </c>
      <c r="F37" t="s">
        <v>175</v>
      </c>
      <c r="G37" t="s">
        <v>175</v>
      </c>
      <c r="H37" t="s">
        <v>175</v>
      </c>
      <c r="I37" t="s">
        <v>175</v>
      </c>
    </row>
    <row r="38" spans="1:9">
      <c r="A38" t="s">
        <v>209</v>
      </c>
      <c r="B38" t="s">
        <v>175</v>
      </c>
      <c r="C38" t="s">
        <v>175</v>
      </c>
      <c r="D38" t="s">
        <v>175</v>
      </c>
      <c r="E38" t="s">
        <v>177</v>
      </c>
      <c r="F38" t="s">
        <v>175</v>
      </c>
      <c r="G38" t="s">
        <v>175</v>
      </c>
      <c r="H38" t="s">
        <v>175</v>
      </c>
      <c r="I38" t="s">
        <v>175</v>
      </c>
    </row>
    <row r="39" spans="1:9">
      <c r="A39" t="s">
        <v>210</v>
      </c>
      <c r="B39" t="s">
        <v>175</v>
      </c>
      <c r="C39" t="s">
        <v>175</v>
      </c>
      <c r="D39" t="s">
        <v>175</v>
      </c>
      <c r="E39">
        <v>5</v>
      </c>
      <c r="F39" t="s">
        <v>175</v>
      </c>
      <c r="G39" t="s">
        <v>175</v>
      </c>
      <c r="H39" t="s">
        <v>175</v>
      </c>
      <c r="I39" t="s">
        <v>175</v>
      </c>
    </row>
    <row r="40" spans="1:9">
      <c r="A40" t="s">
        <v>211</v>
      </c>
      <c r="B40" t="s">
        <v>175</v>
      </c>
      <c r="C40" t="s">
        <v>175</v>
      </c>
      <c r="D40" t="s">
        <v>175</v>
      </c>
      <c r="E40" t="s">
        <v>177</v>
      </c>
      <c r="F40" t="s">
        <v>175</v>
      </c>
      <c r="G40" t="s">
        <v>175</v>
      </c>
      <c r="H40" t="s">
        <v>175</v>
      </c>
      <c r="I40" t="s">
        <v>175</v>
      </c>
    </row>
    <row r="41" spans="1:9">
      <c r="A41" t="s">
        <v>212</v>
      </c>
      <c r="B41" t="s">
        <v>175</v>
      </c>
      <c r="C41" t="s">
        <v>175</v>
      </c>
      <c r="D41" t="s">
        <v>175</v>
      </c>
      <c r="E41">
        <v>59</v>
      </c>
      <c r="F41" t="s">
        <v>175</v>
      </c>
      <c r="G41" t="s">
        <v>175</v>
      </c>
      <c r="H41" t="s">
        <v>175</v>
      </c>
      <c r="I41" t="s">
        <v>175</v>
      </c>
    </row>
    <row r="42" spans="1:9">
      <c r="A42" t="s">
        <v>213</v>
      </c>
      <c r="B42" t="s">
        <v>175</v>
      </c>
      <c r="C42" t="s">
        <v>175</v>
      </c>
      <c r="D42" t="s">
        <v>175</v>
      </c>
      <c r="E42" t="s">
        <v>177</v>
      </c>
      <c r="F42" t="s">
        <v>175</v>
      </c>
      <c r="G42" t="s">
        <v>175</v>
      </c>
      <c r="H42" t="s">
        <v>175</v>
      </c>
      <c r="I42" t="s">
        <v>175</v>
      </c>
    </row>
    <row r="43" spans="1:9">
      <c r="A43" t="s">
        <v>214</v>
      </c>
      <c r="B43" t="s">
        <v>175</v>
      </c>
      <c r="C43" t="s">
        <v>175</v>
      </c>
      <c r="D43" t="s">
        <v>175</v>
      </c>
      <c r="E43" t="s">
        <v>175</v>
      </c>
      <c r="F43">
        <v>6</v>
      </c>
      <c r="G43" t="s">
        <v>175</v>
      </c>
      <c r="H43" t="s">
        <v>175</v>
      </c>
      <c r="I43" t="s">
        <v>175</v>
      </c>
    </row>
    <row r="44" spans="1:9">
      <c r="A44" t="s">
        <v>215</v>
      </c>
      <c r="B44" t="s">
        <v>175</v>
      </c>
      <c r="C44" t="s">
        <v>175</v>
      </c>
      <c r="D44" t="s">
        <v>175</v>
      </c>
      <c r="E44" t="s">
        <v>175</v>
      </c>
      <c r="F44">
        <v>344</v>
      </c>
      <c r="G44" t="s">
        <v>175</v>
      </c>
      <c r="H44" t="s">
        <v>175</v>
      </c>
      <c r="I44" t="s">
        <v>175</v>
      </c>
    </row>
    <row r="45" spans="1:9">
      <c r="A45" t="s">
        <v>216</v>
      </c>
      <c r="B45" t="s">
        <v>175</v>
      </c>
      <c r="C45" t="s">
        <v>175</v>
      </c>
      <c r="D45" t="s">
        <v>175</v>
      </c>
      <c r="E45" t="s">
        <v>175</v>
      </c>
      <c r="F45">
        <v>425</v>
      </c>
      <c r="G45" t="s">
        <v>175</v>
      </c>
      <c r="H45" t="s">
        <v>175</v>
      </c>
      <c r="I45" t="s">
        <v>175</v>
      </c>
    </row>
    <row r="46" spans="1:9">
      <c r="A46" t="s">
        <v>217</v>
      </c>
      <c r="B46" t="s">
        <v>175</v>
      </c>
      <c r="C46" t="s">
        <v>175</v>
      </c>
      <c r="D46" t="s">
        <v>175</v>
      </c>
      <c r="E46" t="s">
        <v>175</v>
      </c>
      <c r="F46">
        <v>39</v>
      </c>
      <c r="G46" t="s">
        <v>175</v>
      </c>
      <c r="H46" t="s">
        <v>175</v>
      </c>
      <c r="I46" t="s">
        <v>175</v>
      </c>
    </row>
    <row r="47" spans="1:9">
      <c r="A47" t="s">
        <v>218</v>
      </c>
    </row>
    <row r="48" spans="1:9">
      <c r="A48" t="s">
        <v>219</v>
      </c>
      <c r="B48" t="s">
        <v>175</v>
      </c>
      <c r="C48" t="s">
        <v>175</v>
      </c>
      <c r="D48" t="s">
        <v>175</v>
      </c>
      <c r="E48" t="s">
        <v>175</v>
      </c>
      <c r="F48">
        <v>26</v>
      </c>
      <c r="G48" t="s">
        <v>175</v>
      </c>
      <c r="H48" t="s">
        <v>175</v>
      </c>
      <c r="I48" t="s">
        <v>175</v>
      </c>
    </row>
    <row r="49" spans="1:9">
      <c r="A49" t="s">
        <v>220</v>
      </c>
      <c r="B49" t="s">
        <v>175</v>
      </c>
      <c r="C49" t="s">
        <v>175</v>
      </c>
      <c r="D49" t="s">
        <v>175</v>
      </c>
      <c r="E49" t="s">
        <v>175</v>
      </c>
      <c r="F49">
        <v>1</v>
      </c>
      <c r="G49" t="s">
        <v>175</v>
      </c>
      <c r="H49" t="s">
        <v>175</v>
      </c>
      <c r="I49" t="s">
        <v>175</v>
      </c>
    </row>
    <row r="50" spans="1:9">
      <c r="A50" t="s">
        <v>221</v>
      </c>
      <c r="B50" t="s">
        <v>175</v>
      </c>
      <c r="C50" t="s">
        <v>175</v>
      </c>
      <c r="D50" t="s">
        <v>175</v>
      </c>
      <c r="E50" t="s">
        <v>175</v>
      </c>
      <c r="F50" t="s">
        <v>175</v>
      </c>
      <c r="G50">
        <v>20</v>
      </c>
      <c r="H50" t="s">
        <v>175</v>
      </c>
      <c r="I50" t="s">
        <v>175</v>
      </c>
    </row>
    <row r="51" spans="1:9">
      <c r="A51" t="s">
        <v>222</v>
      </c>
      <c r="B51" t="s">
        <v>175</v>
      </c>
      <c r="C51" t="s">
        <v>175</v>
      </c>
      <c r="D51" t="s">
        <v>175</v>
      </c>
      <c r="E51" t="s">
        <v>175</v>
      </c>
      <c r="F51" t="s">
        <v>175</v>
      </c>
      <c r="G51">
        <v>1</v>
      </c>
      <c r="H51" t="s">
        <v>175</v>
      </c>
      <c r="I51" t="s">
        <v>175</v>
      </c>
    </row>
    <row r="52" spans="1:9">
      <c r="A52" t="s">
        <v>223</v>
      </c>
      <c r="B52" t="s">
        <v>175</v>
      </c>
      <c r="C52" t="s">
        <v>175</v>
      </c>
      <c r="D52" t="s">
        <v>175</v>
      </c>
      <c r="E52" t="s">
        <v>175</v>
      </c>
      <c r="F52" t="s">
        <v>175</v>
      </c>
      <c r="G52" t="s">
        <v>177</v>
      </c>
      <c r="H52" t="s">
        <v>175</v>
      </c>
      <c r="I52" t="s">
        <v>175</v>
      </c>
    </row>
    <row r="53" spans="1:9">
      <c r="A53" t="s">
        <v>224</v>
      </c>
      <c r="B53" t="s">
        <v>175</v>
      </c>
      <c r="C53" t="s">
        <v>175</v>
      </c>
      <c r="D53" t="s">
        <v>175</v>
      </c>
      <c r="E53" t="s">
        <v>175</v>
      </c>
      <c r="F53" t="s">
        <v>175</v>
      </c>
      <c r="G53">
        <v>3</v>
      </c>
      <c r="H53" t="s">
        <v>175</v>
      </c>
      <c r="I53" t="s">
        <v>175</v>
      </c>
    </row>
    <row r="54" spans="1:9">
      <c r="A54" t="s">
        <v>225</v>
      </c>
      <c r="B54" t="s">
        <v>175</v>
      </c>
      <c r="C54" t="s">
        <v>175</v>
      </c>
      <c r="D54" t="s">
        <v>175</v>
      </c>
      <c r="E54" t="s">
        <v>175</v>
      </c>
      <c r="F54" t="s">
        <v>175</v>
      </c>
      <c r="G54" t="s">
        <v>177</v>
      </c>
      <c r="H54" t="s">
        <v>175</v>
      </c>
      <c r="I54" t="s">
        <v>175</v>
      </c>
    </row>
    <row r="55" spans="1:9">
      <c r="A55" t="s">
        <v>226</v>
      </c>
      <c r="B55" t="s">
        <v>175</v>
      </c>
      <c r="C55" t="s">
        <v>175</v>
      </c>
      <c r="D55" t="s">
        <v>175</v>
      </c>
      <c r="E55" t="s">
        <v>175</v>
      </c>
      <c r="F55" t="s">
        <v>175</v>
      </c>
      <c r="G55" t="s">
        <v>177</v>
      </c>
      <c r="H55" t="s">
        <v>175</v>
      </c>
      <c r="I55" t="s">
        <v>175</v>
      </c>
    </row>
    <row r="56" spans="1:9">
      <c r="A56" t="s">
        <v>227</v>
      </c>
      <c r="B56" t="s">
        <v>175</v>
      </c>
      <c r="C56" t="s">
        <v>175</v>
      </c>
      <c r="D56" t="s">
        <v>175</v>
      </c>
      <c r="E56" t="s">
        <v>175</v>
      </c>
      <c r="F56" t="s">
        <v>175</v>
      </c>
      <c r="G56">
        <v>252</v>
      </c>
      <c r="H56" t="s">
        <v>175</v>
      </c>
      <c r="I56" t="s">
        <v>175</v>
      </c>
    </row>
    <row r="57" spans="1:9">
      <c r="A57" t="s">
        <v>228</v>
      </c>
      <c r="B57" t="s">
        <v>175</v>
      </c>
      <c r="C57" t="s">
        <v>175</v>
      </c>
      <c r="D57" t="s">
        <v>175</v>
      </c>
      <c r="E57" t="s">
        <v>175</v>
      </c>
      <c r="F57" t="s">
        <v>175</v>
      </c>
      <c r="G57" t="s">
        <v>177</v>
      </c>
      <c r="H57" t="s">
        <v>175</v>
      </c>
      <c r="I57" t="s">
        <v>175</v>
      </c>
    </row>
    <row r="58" spans="1:9">
      <c r="A58" t="s">
        <v>229</v>
      </c>
      <c r="B58" t="s">
        <v>175</v>
      </c>
      <c r="C58" t="s">
        <v>175</v>
      </c>
      <c r="D58" t="s">
        <v>175</v>
      </c>
      <c r="E58" t="s">
        <v>175</v>
      </c>
      <c r="F58" t="s">
        <v>175</v>
      </c>
      <c r="G58" t="s">
        <v>177</v>
      </c>
      <c r="H58" t="s">
        <v>175</v>
      </c>
      <c r="I58" t="s">
        <v>175</v>
      </c>
    </row>
    <row r="59" spans="1:9">
      <c r="A59" t="s">
        <v>230</v>
      </c>
      <c r="B59" t="s">
        <v>175</v>
      </c>
      <c r="C59" t="s">
        <v>175</v>
      </c>
      <c r="D59" t="s">
        <v>175</v>
      </c>
      <c r="E59" t="s">
        <v>175</v>
      </c>
      <c r="F59" t="s">
        <v>175</v>
      </c>
      <c r="G59" t="s">
        <v>175</v>
      </c>
      <c r="H59" t="s">
        <v>177</v>
      </c>
      <c r="I59" t="s">
        <v>175</v>
      </c>
    </row>
    <row r="60" spans="1:9">
      <c r="A60" t="s">
        <v>231</v>
      </c>
      <c r="B60" t="s">
        <v>175</v>
      </c>
      <c r="C60" t="s">
        <v>175</v>
      </c>
      <c r="D60" t="s">
        <v>175</v>
      </c>
      <c r="E60" t="s">
        <v>175</v>
      </c>
      <c r="F60" t="s">
        <v>175</v>
      </c>
      <c r="G60" t="s">
        <v>175</v>
      </c>
      <c r="H60" t="s">
        <v>177</v>
      </c>
      <c r="I60" t="s">
        <v>175</v>
      </c>
    </row>
    <row r="61" spans="1:9">
      <c r="A61" t="s">
        <v>232</v>
      </c>
      <c r="B61" t="s">
        <v>175</v>
      </c>
      <c r="C61" t="s">
        <v>175</v>
      </c>
      <c r="D61" t="s">
        <v>175</v>
      </c>
      <c r="E61" t="s">
        <v>175</v>
      </c>
      <c r="F61" t="s">
        <v>175</v>
      </c>
      <c r="G61" t="s">
        <v>175</v>
      </c>
      <c r="H61">
        <v>504</v>
      </c>
      <c r="I61" t="s">
        <v>175</v>
      </c>
    </row>
    <row r="62" spans="1:9">
      <c r="A62" t="s">
        <v>233</v>
      </c>
      <c r="B62" t="s">
        <v>175</v>
      </c>
      <c r="C62" t="s">
        <v>175</v>
      </c>
      <c r="D62" t="s">
        <v>175</v>
      </c>
      <c r="E62" t="s">
        <v>175</v>
      </c>
      <c r="F62" t="s">
        <v>175</v>
      </c>
      <c r="G62" t="s">
        <v>175</v>
      </c>
      <c r="H62">
        <v>16</v>
      </c>
      <c r="I62" t="s">
        <v>175</v>
      </c>
    </row>
    <row r="63" spans="1:9">
      <c r="A63" t="s">
        <v>234</v>
      </c>
      <c r="B63" t="s">
        <v>175</v>
      </c>
      <c r="C63" t="s">
        <v>175</v>
      </c>
      <c r="D63" t="s">
        <v>175</v>
      </c>
      <c r="E63" t="s">
        <v>175</v>
      </c>
      <c r="F63" t="s">
        <v>175</v>
      </c>
      <c r="G63" t="s">
        <v>175</v>
      </c>
      <c r="H63">
        <v>1084</v>
      </c>
      <c r="I63" t="s">
        <v>175</v>
      </c>
    </row>
    <row r="64" spans="1:9">
      <c r="A64" t="s">
        <v>235</v>
      </c>
      <c r="B64" t="s">
        <v>175</v>
      </c>
      <c r="C64" t="s">
        <v>175</v>
      </c>
      <c r="D64" t="s">
        <v>175</v>
      </c>
      <c r="E64" t="s">
        <v>175</v>
      </c>
      <c r="F64" t="s">
        <v>175</v>
      </c>
      <c r="G64" t="s">
        <v>175</v>
      </c>
      <c r="H64">
        <v>4</v>
      </c>
      <c r="I64" t="s">
        <v>175</v>
      </c>
    </row>
    <row r="65" spans="1:9">
      <c r="A65" t="s">
        <v>236</v>
      </c>
      <c r="B65" t="s">
        <v>175</v>
      </c>
      <c r="C65" t="s">
        <v>175</v>
      </c>
      <c r="D65" t="s">
        <v>175</v>
      </c>
      <c r="E65" t="s">
        <v>175</v>
      </c>
      <c r="F65" t="s">
        <v>175</v>
      </c>
      <c r="G65" t="s">
        <v>175</v>
      </c>
      <c r="H65">
        <v>64</v>
      </c>
      <c r="I65" t="s">
        <v>175</v>
      </c>
    </row>
    <row r="66" spans="1:9">
      <c r="A66" t="s">
        <v>237</v>
      </c>
      <c r="B66" t="s">
        <v>175</v>
      </c>
      <c r="C66" t="s">
        <v>175</v>
      </c>
      <c r="D66" t="s">
        <v>175</v>
      </c>
      <c r="E66" t="s">
        <v>175</v>
      </c>
      <c r="F66" t="s">
        <v>175</v>
      </c>
      <c r="G66" t="s">
        <v>175</v>
      </c>
      <c r="H66">
        <v>4</v>
      </c>
      <c r="I66" t="s">
        <v>175</v>
      </c>
    </row>
    <row r="67" spans="1:9">
      <c r="A67" t="s">
        <v>238</v>
      </c>
      <c r="B67" t="s">
        <v>175</v>
      </c>
      <c r="C67" t="s">
        <v>175</v>
      </c>
      <c r="D67" t="s">
        <v>175</v>
      </c>
      <c r="E67" t="s">
        <v>175</v>
      </c>
      <c r="F67" t="s">
        <v>175</v>
      </c>
      <c r="G67" t="s">
        <v>175</v>
      </c>
      <c r="H67" t="s">
        <v>175</v>
      </c>
      <c r="I67">
        <v>10</v>
      </c>
    </row>
    <row r="68" spans="1:9">
      <c r="A68" t="s">
        <v>239</v>
      </c>
      <c r="B68" t="s">
        <v>175</v>
      </c>
      <c r="C68" t="s">
        <v>175</v>
      </c>
      <c r="D68" t="s">
        <v>175</v>
      </c>
      <c r="E68" t="s">
        <v>175</v>
      </c>
      <c r="F68" t="s">
        <v>175</v>
      </c>
      <c r="G68" t="s">
        <v>175</v>
      </c>
      <c r="H68" t="s">
        <v>175</v>
      </c>
      <c r="I68">
        <v>233</v>
      </c>
    </row>
    <row r="69" spans="1:9">
      <c r="A69" t="s">
        <v>240</v>
      </c>
      <c r="B69" t="s">
        <v>175</v>
      </c>
      <c r="C69" t="s">
        <v>175</v>
      </c>
      <c r="D69" t="s">
        <v>175</v>
      </c>
      <c r="E69" t="s">
        <v>175</v>
      </c>
      <c r="F69" t="s">
        <v>175</v>
      </c>
      <c r="G69" t="s">
        <v>175</v>
      </c>
      <c r="H69" t="s">
        <v>175</v>
      </c>
      <c r="I69">
        <v>39</v>
      </c>
    </row>
    <row r="70" spans="1:9">
      <c r="A70" t="s">
        <v>241</v>
      </c>
      <c r="B70" t="s">
        <v>175</v>
      </c>
      <c r="C70" t="s">
        <v>175</v>
      </c>
      <c r="D70" t="s">
        <v>175</v>
      </c>
      <c r="E70" t="s">
        <v>175</v>
      </c>
      <c r="F70" t="s">
        <v>175</v>
      </c>
      <c r="G70" t="s">
        <v>175</v>
      </c>
      <c r="H70" t="s">
        <v>175</v>
      </c>
      <c r="I70">
        <v>5</v>
      </c>
    </row>
    <row r="71" spans="1:9">
      <c r="A71" t="s">
        <v>242</v>
      </c>
      <c r="B71" t="s">
        <v>175</v>
      </c>
      <c r="C71" t="s">
        <v>175</v>
      </c>
      <c r="D71" t="s">
        <v>175</v>
      </c>
      <c r="E71" t="s">
        <v>175</v>
      </c>
      <c r="F71" t="s">
        <v>175</v>
      </c>
      <c r="G71" t="s">
        <v>175</v>
      </c>
      <c r="H71" t="s">
        <v>175</v>
      </c>
      <c r="I71" t="s">
        <v>177</v>
      </c>
    </row>
    <row r="72" spans="1:9">
      <c r="A72" t="s">
        <v>243</v>
      </c>
      <c r="B72" t="s">
        <v>175</v>
      </c>
      <c r="C72" t="s">
        <v>175</v>
      </c>
      <c r="D72" t="s">
        <v>175</v>
      </c>
      <c r="E72" t="s">
        <v>175</v>
      </c>
      <c r="F72" t="s">
        <v>175</v>
      </c>
      <c r="G72" t="s">
        <v>175</v>
      </c>
      <c r="H72" t="s">
        <v>175</v>
      </c>
      <c r="I72">
        <v>1</v>
      </c>
    </row>
    <row r="73" spans="1:9">
      <c r="A73" t="s">
        <v>244</v>
      </c>
      <c r="B73" t="s">
        <v>175</v>
      </c>
      <c r="C73" t="s">
        <v>175</v>
      </c>
      <c r="D73" t="s">
        <v>175</v>
      </c>
      <c r="E73" t="s">
        <v>175</v>
      </c>
      <c r="F73" t="s">
        <v>175</v>
      </c>
      <c r="G73" t="s">
        <v>175</v>
      </c>
      <c r="H73" t="s">
        <v>175</v>
      </c>
      <c r="I73">
        <v>59</v>
      </c>
    </row>
    <row r="74" spans="1:9">
      <c r="A74" t="s">
        <v>245</v>
      </c>
      <c r="B74" t="s">
        <v>175</v>
      </c>
      <c r="C74" t="s">
        <v>175</v>
      </c>
      <c r="D74" t="s">
        <v>175</v>
      </c>
      <c r="E74" t="s">
        <v>175</v>
      </c>
      <c r="F74" t="s">
        <v>175</v>
      </c>
      <c r="G74" t="s">
        <v>175</v>
      </c>
      <c r="H74" t="s">
        <v>175</v>
      </c>
      <c r="I74">
        <v>2</v>
      </c>
    </row>
    <row r="75" spans="1:9">
      <c r="A75" t="s">
        <v>246</v>
      </c>
      <c r="B75" t="s">
        <v>175</v>
      </c>
      <c r="C75" t="s">
        <v>175</v>
      </c>
      <c r="D75" t="s">
        <v>175</v>
      </c>
      <c r="E75" t="s">
        <v>175</v>
      </c>
      <c r="F75" t="s">
        <v>175</v>
      </c>
      <c r="G75" t="s">
        <v>175</v>
      </c>
      <c r="H75" t="s">
        <v>175</v>
      </c>
      <c r="I75" t="s">
        <v>177</v>
      </c>
    </row>
    <row r="76" spans="1:9">
      <c r="A76" t="s">
        <v>247</v>
      </c>
      <c r="B76" t="s">
        <v>175</v>
      </c>
      <c r="C76" t="s">
        <v>175</v>
      </c>
      <c r="D76" t="s">
        <v>175</v>
      </c>
      <c r="E76" t="s">
        <v>175</v>
      </c>
      <c r="F76" t="s">
        <v>175</v>
      </c>
      <c r="G76" t="s">
        <v>175</v>
      </c>
      <c r="H76" t="s">
        <v>175</v>
      </c>
      <c r="I76">
        <v>918</v>
      </c>
    </row>
    <row r="77" spans="1:9">
      <c r="A77" t="s">
        <v>248</v>
      </c>
      <c r="B77" t="s">
        <v>175</v>
      </c>
      <c r="C77" t="s">
        <v>175</v>
      </c>
      <c r="D77" t="s">
        <v>175</v>
      </c>
      <c r="E77" t="s">
        <v>175</v>
      </c>
      <c r="F77" t="s">
        <v>175</v>
      </c>
      <c r="G77" t="s">
        <v>175</v>
      </c>
      <c r="H77" t="s">
        <v>175</v>
      </c>
      <c r="I77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6:D15"/>
  <sheetViews>
    <sheetView workbookViewId="0">
      <selection activeCell="C7" sqref="C7:C15"/>
    </sheetView>
  </sheetViews>
  <sheetFormatPr defaultRowHeight="12.75"/>
  <cols>
    <col min="1" max="1" width="39.140625" customWidth="1"/>
    <col min="2" max="2" width="31.85546875" customWidth="1"/>
    <col min="3" max="3" width="40.28515625" customWidth="1"/>
    <col min="4" max="4" width="13.28515625" customWidth="1"/>
  </cols>
  <sheetData>
    <row r="6" spans="1:4" ht="38.25">
      <c r="A6" s="1" t="s">
        <v>24</v>
      </c>
      <c r="B6" s="2" t="str">
        <f>[1]расчет!J9</f>
        <v>Уровень  бюджетной обеспеченности (до выравнивания) (БОп)</v>
      </c>
      <c r="C6" s="2" t="str">
        <f>[1]расчет!N9</f>
        <v>Уровень  бюджетной обеспеченности (после  выравнивания) (БО)</v>
      </c>
    </row>
    <row r="7" spans="1:4">
      <c r="A7" s="3" t="s">
        <v>37</v>
      </c>
      <c r="B7" s="4" t="e">
        <f>#REF!</f>
        <v>#REF!</v>
      </c>
      <c r="C7" s="4" t="e">
        <f>#REF!</f>
        <v>#REF!</v>
      </c>
    </row>
    <row r="8" spans="1:4">
      <c r="A8" s="3" t="s">
        <v>38</v>
      </c>
      <c r="B8" s="4" t="e">
        <f>#REF!</f>
        <v>#REF!</v>
      </c>
      <c r="C8" s="4" t="e">
        <f>#REF!</f>
        <v>#REF!</v>
      </c>
      <c r="D8" t="e">
        <f>C8-B8</f>
        <v>#REF!</v>
      </c>
    </row>
    <row r="9" spans="1:4">
      <c r="A9" s="3" t="s">
        <v>39</v>
      </c>
      <c r="B9" s="4" t="e">
        <f>#REF!</f>
        <v>#REF!</v>
      </c>
      <c r="C9" s="4" t="e">
        <f>#REF!</f>
        <v>#REF!</v>
      </c>
      <c r="D9" t="e">
        <f t="shared" ref="D9:D15" si="0">C9-B9</f>
        <v>#REF!</v>
      </c>
    </row>
    <row r="10" spans="1:4">
      <c r="A10" s="3" t="s">
        <v>40</v>
      </c>
      <c r="B10" s="4" t="e">
        <f>#REF!</f>
        <v>#REF!</v>
      </c>
      <c r="C10" s="4" t="e">
        <f>#REF!</f>
        <v>#REF!</v>
      </c>
      <c r="D10" t="e">
        <f t="shared" si="0"/>
        <v>#REF!</v>
      </c>
    </row>
    <row r="11" spans="1:4">
      <c r="A11" s="3" t="s">
        <v>41</v>
      </c>
      <c r="B11" s="4" t="e">
        <f>#REF!</f>
        <v>#REF!</v>
      </c>
      <c r="C11" s="4" t="e">
        <f>#REF!</f>
        <v>#REF!</v>
      </c>
      <c r="D11" t="e">
        <f t="shared" si="0"/>
        <v>#REF!</v>
      </c>
    </row>
    <row r="12" spans="1:4">
      <c r="A12" s="3" t="s">
        <v>42</v>
      </c>
      <c r="B12" s="4" t="e">
        <f>#REF!</f>
        <v>#REF!</v>
      </c>
      <c r="C12" s="4" t="e">
        <f>#REF!</f>
        <v>#REF!</v>
      </c>
      <c r="D12" t="e">
        <f t="shared" si="0"/>
        <v>#REF!</v>
      </c>
    </row>
    <row r="13" spans="1:4">
      <c r="A13" s="3" t="s">
        <v>44</v>
      </c>
      <c r="B13" s="4" t="e">
        <f>#REF!</f>
        <v>#REF!</v>
      </c>
      <c r="C13" s="4" t="e">
        <f>#REF!</f>
        <v>#REF!</v>
      </c>
      <c r="D13" t="e">
        <f t="shared" si="0"/>
        <v>#REF!</v>
      </c>
    </row>
    <row r="14" spans="1:4">
      <c r="A14" s="3" t="s">
        <v>45</v>
      </c>
      <c r="B14" s="4" t="e">
        <f>#REF!</f>
        <v>#REF!</v>
      </c>
      <c r="C14" s="4" t="e">
        <f>#REF!</f>
        <v>#REF!</v>
      </c>
      <c r="D14" t="e">
        <f t="shared" si="0"/>
        <v>#REF!</v>
      </c>
    </row>
    <row r="15" spans="1:4">
      <c r="A15" s="3" t="s">
        <v>43</v>
      </c>
      <c r="B15" s="4" t="e">
        <f>#REF!</f>
        <v>#REF!</v>
      </c>
      <c r="C15" s="4" t="e">
        <f>#REF!</f>
        <v>#REF!</v>
      </c>
      <c r="D15" t="e">
        <f t="shared" si="0"/>
        <v>#REF!</v>
      </c>
    </row>
  </sheetData>
  <phoneticPr fontId="14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6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2025 год</vt:lpstr>
      <vt:lpstr>доход</vt:lpstr>
      <vt:lpstr> коэф замещение доход</vt:lpstr>
      <vt:lpstr>расходы</vt:lpstr>
      <vt:lpstr>Числен населен</vt:lpstr>
      <vt:lpstr>Примечания общий</vt:lpstr>
      <vt:lpstr>Диаграмма общий</vt:lpstr>
      <vt:lpstr>'Числен населен'!_Toc167289930</vt:lpstr>
      <vt:lpstr>'Числен населен'!_Toc167706567</vt:lpstr>
      <vt:lpstr>'2025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</dc:creator>
  <cp:lastModifiedBy>Пользователь</cp:lastModifiedBy>
  <cp:lastPrinted>2024-11-22T11:45:46Z</cp:lastPrinted>
  <dcterms:created xsi:type="dcterms:W3CDTF">2006-08-31T10:53:47Z</dcterms:created>
  <dcterms:modified xsi:type="dcterms:W3CDTF">2024-11-22T13:11:08Z</dcterms:modified>
</cp:coreProperties>
</file>